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 tabRatio="706" firstSheet="2" activeTab="6"/>
  </bookViews>
  <sheets>
    <sheet name="Приложение 1" sheetId="2" r:id="rId1"/>
    <sheet name="Приложение 2 АЛЕНУШКА" sheetId="3" r:id="rId2"/>
    <sheet name="Приложение 3 СОЛНЫШКО" sheetId="4" r:id="rId3"/>
    <sheet name="Приложение 4 ДМШ " sheetId="5" r:id="rId4"/>
    <sheet name="Прилоржение 5 ДЮСШ" sheetId="6" r:id="rId5"/>
    <sheet name="Приложение 6 ЦДТ" sheetId="7" r:id="rId6"/>
    <sheet name="Приложение 7 СЮТ" sheetId="8" r:id="rId7"/>
  </sheets>
  <calcPr calcId="145621"/>
</workbook>
</file>

<file path=xl/calcChain.xml><?xml version="1.0" encoding="utf-8"?>
<calcChain xmlns="http://schemas.openxmlformats.org/spreadsheetml/2006/main">
  <c r="G20" i="4" l="1"/>
  <c r="G19" i="4"/>
  <c r="G18" i="4"/>
  <c r="C23" i="2" l="1"/>
  <c r="C25" i="2"/>
  <c r="C24" i="2"/>
  <c r="B20" i="4" l="1"/>
  <c r="B19" i="4"/>
  <c r="B18" i="4"/>
  <c r="C19" i="4"/>
  <c r="C18" i="4"/>
  <c r="G22" i="3"/>
  <c r="G21" i="3"/>
  <c r="G20" i="3"/>
  <c r="G19" i="3"/>
  <c r="G18" i="3"/>
  <c r="B20" i="3"/>
  <c r="B19" i="3"/>
  <c r="B18" i="3"/>
  <c r="C22" i="3"/>
  <c r="C21" i="3"/>
  <c r="C20" i="3"/>
  <c r="C19" i="3"/>
  <c r="C18" i="3"/>
  <c r="M22" i="3"/>
  <c r="M21" i="3"/>
  <c r="K22" i="3"/>
  <c r="K21" i="3"/>
  <c r="J22" i="3"/>
  <c r="J21" i="3"/>
  <c r="I22" i="3"/>
  <c r="I21" i="3"/>
  <c r="H22" i="3"/>
  <c r="H21" i="3"/>
  <c r="M18" i="6" l="1"/>
  <c r="I18" i="6"/>
  <c r="G18" i="6"/>
  <c r="F23" i="5"/>
  <c r="F19" i="5"/>
  <c r="F20" i="5"/>
  <c r="F21" i="5"/>
  <c r="F22" i="5"/>
  <c r="F18" i="5"/>
  <c r="O21" i="4"/>
  <c r="O22" i="4"/>
  <c r="F21" i="4"/>
  <c r="F22" i="4"/>
  <c r="M22" i="4"/>
  <c r="M21" i="4"/>
  <c r="H28" i="2"/>
  <c r="I28" i="2"/>
  <c r="J28" i="2"/>
  <c r="K28" i="2"/>
  <c r="L28" i="2"/>
  <c r="M28" i="2"/>
  <c r="G28" i="2"/>
  <c r="Q28" i="2" l="1"/>
  <c r="N19" i="2"/>
  <c r="N20" i="2"/>
  <c r="N21" i="2"/>
  <c r="N22" i="2"/>
  <c r="N23" i="2"/>
  <c r="N24" i="2"/>
  <c r="N25" i="2"/>
  <c r="N26" i="2"/>
  <c r="N27" i="2"/>
  <c r="N18" i="2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18" i="2"/>
  <c r="F18" i="2" s="1"/>
  <c r="B28" i="2"/>
  <c r="C28" i="2"/>
  <c r="D28" i="2"/>
  <c r="O18" i="2" l="1"/>
  <c r="N28" i="2"/>
  <c r="O28" i="2" s="1"/>
  <c r="P27" i="2"/>
  <c r="R27" i="2" s="1"/>
  <c r="P25" i="2"/>
  <c r="R25" i="2" s="1"/>
  <c r="P23" i="2"/>
  <c r="R23" i="2" s="1"/>
  <c r="P21" i="2"/>
  <c r="R21" i="2" s="1"/>
  <c r="P19" i="2"/>
  <c r="R19" i="2" s="1"/>
  <c r="P18" i="2"/>
  <c r="P26" i="2"/>
  <c r="R26" i="2" s="1"/>
  <c r="P24" i="2"/>
  <c r="R24" i="2" s="1"/>
  <c r="P22" i="2"/>
  <c r="R22" i="2" s="1"/>
  <c r="P20" i="2"/>
  <c r="R20" i="2" s="1"/>
  <c r="E28" i="2"/>
  <c r="F28" i="2" s="1"/>
  <c r="R18" i="2" l="1"/>
  <c r="P28" i="2"/>
  <c r="R28" i="2" s="1"/>
  <c r="O22" i="2"/>
  <c r="O26" i="2"/>
  <c r="O19" i="2"/>
  <c r="O25" i="2"/>
  <c r="O20" i="2"/>
  <c r="O24" i="2"/>
  <c r="O23" i="2"/>
  <c r="O21" i="2"/>
  <c r="O27" i="2"/>
  <c r="J22" i="4"/>
  <c r="J21" i="4"/>
  <c r="I22" i="4"/>
  <c r="I21" i="4"/>
  <c r="C22" i="4"/>
  <c r="C21" i="4"/>
  <c r="K22" i="4"/>
  <c r="K21" i="4"/>
  <c r="H22" i="4"/>
  <c r="H21" i="4"/>
  <c r="G22" i="4"/>
  <c r="G21" i="4"/>
  <c r="D22" i="4" l="1"/>
  <c r="D21" i="4"/>
  <c r="C20" i="4"/>
  <c r="Q23" i="3"/>
  <c r="N18" i="3" l="1"/>
  <c r="O18" i="3" s="1"/>
  <c r="N21" i="3" l="1"/>
  <c r="O21" i="3" s="1"/>
  <c r="C23" i="3"/>
  <c r="O19" i="8"/>
  <c r="O18" i="8"/>
  <c r="F19" i="8"/>
  <c r="F18" i="8"/>
  <c r="O19" i="7"/>
  <c r="O18" i="7"/>
  <c r="F19" i="7"/>
  <c r="F18" i="7"/>
  <c r="F19" i="6" l="1"/>
  <c r="F18" i="6"/>
  <c r="O23" i="5"/>
  <c r="O22" i="5"/>
  <c r="O21" i="5"/>
  <c r="O20" i="5"/>
  <c r="O19" i="5"/>
  <c r="O18" i="5"/>
  <c r="E18" i="4"/>
  <c r="F18" i="4" s="1"/>
  <c r="L23" i="3"/>
  <c r="I23" i="3"/>
  <c r="N22" i="3"/>
  <c r="O22" i="3" s="1"/>
  <c r="E22" i="3"/>
  <c r="F22" i="3" s="1"/>
  <c r="E21" i="3"/>
  <c r="F21" i="3" s="1"/>
  <c r="N20" i="3"/>
  <c r="O20" i="3" s="1"/>
  <c r="E20" i="3"/>
  <c r="F20" i="3" s="1"/>
  <c r="N19" i="3"/>
  <c r="O19" i="3" s="1"/>
  <c r="E19" i="3"/>
  <c r="F19" i="3" s="1"/>
  <c r="M23" i="3"/>
  <c r="K23" i="3"/>
  <c r="J23" i="3"/>
  <c r="H23" i="3"/>
  <c r="G23" i="3"/>
  <c r="D23" i="3"/>
  <c r="B23" i="3"/>
  <c r="L23" i="4"/>
  <c r="I23" i="4"/>
  <c r="N22" i="4"/>
  <c r="E22" i="4"/>
  <c r="N21" i="4"/>
  <c r="E21" i="4"/>
  <c r="N20" i="4"/>
  <c r="O20" i="4" s="1"/>
  <c r="E20" i="4"/>
  <c r="F20" i="4" s="1"/>
  <c r="N19" i="4"/>
  <c r="O19" i="4" s="1"/>
  <c r="E19" i="4"/>
  <c r="F19" i="4" s="1"/>
  <c r="M23" i="4"/>
  <c r="K23" i="4"/>
  <c r="J23" i="4"/>
  <c r="H23" i="4"/>
  <c r="G23" i="4"/>
  <c r="D23" i="4"/>
  <c r="C23" i="4"/>
  <c r="B23" i="4"/>
  <c r="R18" i="8"/>
  <c r="R18" i="7"/>
  <c r="P22" i="4" l="1"/>
  <c r="R22" i="4" s="1"/>
  <c r="P22" i="3"/>
  <c r="R22" i="3" s="1"/>
  <c r="P19" i="3"/>
  <c r="R19" i="3" s="1"/>
  <c r="P20" i="3"/>
  <c r="R20" i="3" s="1"/>
  <c r="P21" i="3"/>
  <c r="R21" i="3" s="1"/>
  <c r="E18" i="3"/>
  <c r="F18" i="3" s="1"/>
  <c r="P19" i="4"/>
  <c r="R19" i="4" s="1"/>
  <c r="P20" i="4"/>
  <c r="R20" i="4" s="1"/>
  <c r="P21" i="4"/>
  <c r="R21" i="4" s="1"/>
  <c r="N18" i="4"/>
  <c r="O18" i="4" s="1"/>
  <c r="P18" i="3" l="1"/>
  <c r="P23" i="3" s="1"/>
  <c r="E23" i="3"/>
  <c r="F23" i="3" s="1"/>
  <c r="N23" i="3"/>
  <c r="O23" i="3" s="1"/>
  <c r="P18" i="4"/>
  <c r="E23" i="4"/>
  <c r="F23" i="4" s="1"/>
  <c r="N23" i="4"/>
  <c r="O23" i="4" s="1"/>
  <c r="R23" i="3" l="1"/>
  <c r="R18" i="3"/>
  <c r="P23" i="4"/>
  <c r="R23" i="4" s="1"/>
  <c r="R18" i="4"/>
  <c r="R23" i="5" l="1"/>
  <c r="R19" i="5"/>
  <c r="R20" i="5"/>
  <c r="R21" i="5"/>
  <c r="R22" i="5"/>
  <c r="R18" i="5"/>
  <c r="R19" i="6"/>
  <c r="Q19" i="8"/>
  <c r="L19" i="8"/>
  <c r="I19" i="8"/>
  <c r="N18" i="8"/>
  <c r="E18" i="8"/>
  <c r="M19" i="8"/>
  <c r="K19" i="8"/>
  <c r="J19" i="8"/>
  <c r="H19" i="8"/>
  <c r="G19" i="8"/>
  <c r="D19" i="8"/>
  <c r="C19" i="8"/>
  <c r="B19" i="8"/>
  <c r="Q19" i="7"/>
  <c r="L19" i="7"/>
  <c r="I19" i="7"/>
  <c r="N18" i="7"/>
  <c r="E18" i="7"/>
  <c r="M19" i="7"/>
  <c r="K19" i="7"/>
  <c r="J19" i="7"/>
  <c r="H19" i="7"/>
  <c r="G19" i="7"/>
  <c r="D19" i="7"/>
  <c r="C19" i="7"/>
  <c r="B19" i="7"/>
  <c r="Q20" i="6"/>
  <c r="L20" i="6"/>
  <c r="I20" i="6"/>
  <c r="N19" i="6"/>
  <c r="O19" i="6" s="1"/>
  <c r="E19" i="6"/>
  <c r="E18" i="6"/>
  <c r="M20" i="6"/>
  <c r="K20" i="6"/>
  <c r="J20" i="6"/>
  <c r="H20" i="6"/>
  <c r="G20" i="6"/>
  <c r="D20" i="6"/>
  <c r="C20" i="6"/>
  <c r="B20" i="6"/>
  <c r="Q23" i="5"/>
  <c r="M21" i="5"/>
  <c r="M20" i="5"/>
  <c r="M19" i="5"/>
  <c r="M18" i="5"/>
  <c r="M23" i="5" s="1"/>
  <c r="K21" i="5"/>
  <c r="K20" i="5"/>
  <c r="K19" i="5"/>
  <c r="K18" i="5"/>
  <c r="K23" i="5" s="1"/>
  <c r="J21" i="5"/>
  <c r="J20" i="5"/>
  <c r="J19" i="5"/>
  <c r="J18" i="5"/>
  <c r="J23" i="5" s="1"/>
  <c r="H21" i="5"/>
  <c r="H20" i="5"/>
  <c r="H19" i="5"/>
  <c r="H18" i="5"/>
  <c r="H23" i="5" s="1"/>
  <c r="G21" i="5"/>
  <c r="N21" i="5" s="1"/>
  <c r="G20" i="5"/>
  <c r="N20" i="5" s="1"/>
  <c r="G19" i="5"/>
  <c r="N19" i="5" s="1"/>
  <c r="G18" i="5"/>
  <c r="G23" i="5" s="1"/>
  <c r="D21" i="5"/>
  <c r="D20" i="5"/>
  <c r="D19" i="5"/>
  <c r="D18" i="5"/>
  <c r="D23" i="5" s="1"/>
  <c r="C21" i="5"/>
  <c r="C20" i="5"/>
  <c r="C19" i="5"/>
  <c r="C18" i="5"/>
  <c r="C23" i="5" s="1"/>
  <c r="N22" i="5"/>
  <c r="B21" i="5"/>
  <c r="B20" i="5"/>
  <c r="B19" i="5"/>
  <c r="B18" i="5"/>
  <c r="E19" i="5"/>
  <c r="E20" i="5"/>
  <c r="E21" i="5"/>
  <c r="P18" i="8" l="1"/>
  <c r="P18" i="7"/>
  <c r="P19" i="6"/>
  <c r="N18" i="6"/>
  <c r="R19" i="8"/>
  <c r="P20" i="5"/>
  <c r="E18" i="5"/>
  <c r="N18" i="5"/>
  <c r="P19" i="5"/>
  <c r="B23" i="5"/>
  <c r="O18" i="6" l="1"/>
  <c r="P18" i="6"/>
  <c r="R18" i="6" s="1"/>
  <c r="P19" i="8"/>
  <c r="E19" i="8"/>
  <c r="N19" i="8"/>
  <c r="P19" i="7"/>
  <c r="E19" i="7"/>
  <c r="N19" i="7"/>
  <c r="R19" i="7"/>
  <c r="E20" i="6"/>
  <c r="N20" i="6"/>
  <c r="P18" i="5"/>
  <c r="N23" i="5"/>
  <c r="P20" i="6" l="1"/>
  <c r="L23" i="5"/>
  <c r="I23" i="5" l="1"/>
  <c r="E22" i="5" l="1"/>
  <c r="P22" i="5" l="1"/>
  <c r="E23" i="5"/>
  <c r="P21" i="5"/>
  <c r="P23" i="5" s="1"/>
</calcChain>
</file>

<file path=xl/sharedStrings.xml><?xml version="1.0" encoding="utf-8"?>
<sst xmlns="http://schemas.openxmlformats.org/spreadsheetml/2006/main" count="374" uniqueCount="89">
  <si>
    <t>Наименование муниципальной услуги</t>
  </si>
  <si>
    <t>Итого затраты учреждения на оказание муниципальных услуг</t>
  </si>
  <si>
    <t>Объем муниципальных услуг</t>
  </si>
  <si>
    <r>
      <t>Затраты на оплату труда и начисления на выплаты по оплате труда</t>
    </r>
    <r>
      <rPr>
        <vertAlign val="superscript"/>
        <sz val="10"/>
        <color theme="1"/>
        <rFont val="Times New Roman"/>
        <family val="1"/>
        <charset val="204"/>
      </rPr>
      <t>1</t>
    </r>
  </si>
  <si>
    <t>Затраты на приобретение расходных материалов, материальных запасов</t>
  </si>
  <si>
    <t>Прочие расходы, непосредственно связанные с оказанием услуги</t>
  </si>
  <si>
    <r>
      <t>ВСЕГО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 xml:space="preserve"> </t>
    </r>
  </si>
  <si>
    <r>
      <t>ВСЕГО</t>
    </r>
    <r>
      <rPr>
        <vertAlign val="superscript"/>
        <sz val="10"/>
        <color theme="1"/>
        <rFont val="Times New Roman"/>
        <family val="1"/>
        <charset val="204"/>
      </rPr>
      <t>4</t>
    </r>
  </si>
  <si>
    <t xml:space="preserve">Очередной финансовый год </t>
  </si>
  <si>
    <t>ИТОГО</t>
  </si>
  <si>
    <t>тыс.руб.</t>
  </si>
  <si>
    <t>к постановлению администрации городского округа ЗАТО Свободный</t>
  </si>
  <si>
    <t>РАСЧЕТ НОРМАТИВНЫХ ЗАТРАТ, СВЯЗАННЫХ С ОКАЗАНИЕМ МУНИЦИПАЛЬНЫХ УСЛУГ</t>
  </si>
  <si>
    <r>
      <t>1.</t>
    </r>
    <r>
      <rPr>
        <vertAlign val="superscript"/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Times New Roman"/>
        <family val="1"/>
        <charset val="204"/>
      </rPr>
      <t>персонала непосредственно участвующего в оказании муниципальной услуги</t>
    </r>
    <r>
      <rPr>
        <sz val="10"/>
        <color theme="1"/>
        <rFont val="Times New Roman"/>
        <family val="1"/>
        <charset val="204"/>
      </rPr>
      <t>.</t>
    </r>
  </si>
  <si>
    <r>
      <t>2.</t>
    </r>
    <r>
      <rPr>
        <vertAlign val="superscript"/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Гр. 5 = гр.2+гр.3+гр.4</t>
    </r>
  </si>
  <si>
    <r>
      <t>3.</t>
    </r>
    <r>
      <rPr>
        <vertAlign val="superscript"/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Times New Roman"/>
        <family val="1"/>
        <charset val="204"/>
      </rPr>
      <t>персоналу  не занятому непосредственно в процессе оказания муниципальных услуг.</t>
    </r>
  </si>
  <si>
    <t>Муниципальным бюджетным общеобразовательным учреждением "Средняя школа №25"</t>
  </si>
  <si>
    <t>Муниципальным бюджетным дошкольным образовательным учреждением "Детский сад №17 "Алёнушка"</t>
  </si>
  <si>
    <t>Приложение № 2</t>
  </si>
  <si>
    <t>Приложение № 3</t>
  </si>
  <si>
    <t>Муниципальным бюджетным дошкольным образовательным учреждением "Детский сад "Солнышко"</t>
  </si>
  <si>
    <t>Муниципальным бюджетным учреждением дополнительного образования "Детская музыкальная школа"</t>
  </si>
  <si>
    <t>Приложение № 4</t>
  </si>
  <si>
    <t>Приложение № 5</t>
  </si>
  <si>
    <t>Муниципальным бюджетным учреждением дополнительного образования "Детско-юношеская спортивная школа"</t>
  </si>
  <si>
    <t>Приложение № 6</t>
  </si>
  <si>
    <r>
      <t xml:space="preserve">1.         </t>
    </r>
    <r>
      <rPr>
        <sz val="10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Times New Roman"/>
        <family val="1"/>
        <charset val="204"/>
      </rPr>
      <t>персонала непосредственно участвующего в оказании муниципальной услуги</t>
    </r>
    <r>
      <rPr>
        <sz val="10"/>
        <color theme="1"/>
        <rFont val="Times New Roman"/>
        <family val="1"/>
        <charset val="204"/>
      </rPr>
      <t>.</t>
    </r>
  </si>
  <si>
    <r>
      <t xml:space="preserve">2.         </t>
    </r>
    <r>
      <rPr>
        <sz val="10"/>
        <color theme="1"/>
        <rFont val="Times New Roman"/>
        <family val="1"/>
        <charset val="204"/>
      </rPr>
      <t>Гр. 5 = гр.2+гр.3+гр.4</t>
    </r>
  </si>
  <si>
    <r>
      <t xml:space="preserve">3.         </t>
    </r>
    <r>
      <rPr>
        <sz val="10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Times New Roman"/>
        <family val="1"/>
        <charset val="204"/>
      </rPr>
      <t>персоналу  не занятому непосредственно в процессе оказания муниципальных услуг.</t>
    </r>
  </si>
  <si>
    <r>
      <t xml:space="preserve">4.         </t>
    </r>
    <r>
      <rPr>
        <sz val="10"/>
        <color theme="1"/>
        <rFont val="Times New Roman"/>
        <family val="1"/>
        <charset val="204"/>
      </rPr>
      <t>Гр. 12 = гр.7+гр.8+гр.9+гр.10+гр.11.</t>
    </r>
  </si>
  <si>
    <r>
      <t xml:space="preserve">5.         </t>
    </r>
    <r>
      <rPr>
        <sz val="10"/>
        <color theme="1"/>
        <rFont val="Times New Roman"/>
        <family val="1"/>
        <charset val="204"/>
      </rPr>
      <t>Гр.14+гр.17.</t>
    </r>
  </si>
  <si>
    <r>
      <t xml:space="preserve">6.         </t>
    </r>
    <r>
      <rPr>
        <sz val="10"/>
        <color theme="1"/>
        <rFont val="Times New Roman"/>
        <family val="1"/>
        <charset val="204"/>
      </rPr>
      <t>Гр.18/гр.15.</t>
    </r>
  </si>
  <si>
    <t xml:space="preserve">                  </t>
  </si>
  <si>
    <t>от "__"_______________2018 года №___</t>
  </si>
  <si>
    <t>Муниципальным казенное учреждением дополнительного образования Станция юных техников</t>
  </si>
  <si>
    <t>РАСЧЕТ БАЗОВЫХ НОРМАТИВНЫХ ЗАТРАТ, СВЯЗАННЫХ С ОКАЗАНИЕМ МУНИЦИПАЛЬНЫХ УСЛУГ</t>
  </si>
  <si>
    <t>Наименование муниципальной услуги (работы)</t>
  </si>
  <si>
    <t>Коммунальные услуги</t>
  </si>
  <si>
    <t>Базовые нормативные затраты, непосредственно связанные с оказанием муниципальной услуги</t>
  </si>
  <si>
    <t>Базовые затраты на общехозяйственные нужды  на оказание муниципальной услуги</t>
  </si>
  <si>
    <r>
      <t>Оплата труда с начисленими на выплаты по оплате труда</t>
    </r>
    <r>
      <rPr>
        <vertAlign val="superscript"/>
        <sz val="10"/>
        <color theme="1"/>
        <rFont val="Times New Roman"/>
        <family val="1"/>
        <charset val="204"/>
      </rPr>
      <t>3</t>
    </r>
  </si>
  <si>
    <t>Содержание объектов недвижимого имущества</t>
  </si>
  <si>
    <t>Содержание объектов особо ценного движимого имущества</t>
  </si>
  <si>
    <t>Приобретение услуг связи</t>
  </si>
  <si>
    <t>Приобретение транспортных услуг</t>
  </si>
  <si>
    <t>Прочие 
общехозяйственные нужды</t>
  </si>
  <si>
    <r>
      <t>4.</t>
    </r>
    <r>
      <rPr>
        <vertAlign val="superscript"/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Гр. 14 = гр.7+гр.8+гр.9+гр.10+гр.11+гр.12+гр.13</t>
    </r>
  </si>
  <si>
    <t>(гр.5+гр.14)</t>
  </si>
  <si>
    <r>
      <t>5.</t>
    </r>
    <r>
      <rPr>
        <vertAlign val="superscript"/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Гр.16/гр.17.</t>
    </r>
  </si>
  <si>
    <t>Муниципальным бюджетным учреждением дополнительного образования Центр детского творчества "Калейдоскоп"</t>
  </si>
  <si>
    <t>-</t>
  </si>
  <si>
    <t>РАСЧЕТ БАЗОВЫХ НОРМАТИВНЫХ ЗАТРАТ, СВЯЗАННЫХ С ОКАЗАНИЕМ МУНИЦИПАЛЬНЫХ УСЛУГ НА 2018 ГОД</t>
  </si>
  <si>
    <t>Реализация дополнительных общеобразовательных предпрофессиональных программ в области искусств
 (42Д04000200300301001100 - 
духовые и ударные инструменты)</t>
  </si>
  <si>
    <t>Реализация дополнительных общеобразовательных предпрофессиональных программ в области искусств 
(42Д04000200300201002100 - 
Струнные инструменты)</t>
  </si>
  <si>
    <t>Реализация дополнительных общеобразовательных предпрофессиональных программ в области искусств 
(42Д04000200300101003100 - 
Фортепиано)</t>
  </si>
  <si>
    <t>Реализация дополнительных общеобразовательных предпрофессиональных программ в области искусств 
(42Д04000200300401000100 - 
Народные инструменты)</t>
  </si>
  <si>
    <t>Реализация дополнительных общеразвивающих программ</t>
  </si>
  <si>
    <t>%
гр.5/гр.16</t>
  </si>
  <si>
    <t>%
гр.14/гр.16</t>
  </si>
  <si>
    <t>Нормативные затраты на единицу оказания муниципальной услуги</t>
  </si>
  <si>
    <t>единиц
(чел.-час)</t>
  </si>
  <si>
    <t>тыс.руб. 
на
единицу</t>
  </si>
  <si>
    <t>Организация отдыха детей и молодежи</t>
  </si>
  <si>
    <t>115792
 (чел.-час)</t>
  </si>
  <si>
    <t>40(чел.)</t>
  </si>
  <si>
    <t>Реализация основных общеобразовательных программ дошкольного образования
(50Д45000300300201061100-
от 1 года до 3 лет)</t>
  </si>
  <si>
    <t>Реализация основных общеобразовательных программ дошкольного образования
(50Д45000300300301060100-
от 3 лет до 8 лет)</t>
  </si>
  <si>
    <t>Присмотр и уход 
(50Д40001100200006001101
 от 1 года до 3 лет)</t>
  </si>
  <si>
    <t>Реализация основных общеобразовательных программ дошкольного образования
(50Д45000100400301060100-
адаптированная программа 
от 3 лет до 8 лет)</t>
  </si>
  <si>
    <t>Присмотр и уход 
(50Д40001100300006009101
 от 3 лет до 8 лет)</t>
  </si>
  <si>
    <t xml:space="preserve">единиц
</t>
  </si>
  <si>
    <t>Услуга: Реализация основных общеобразовательных программ  начального общего образования
(34787000300300101005101)</t>
  </si>
  <si>
    <t>Услуга: Реализация адаптированных основных общеобразовательных программ начального общего образования 
(34788002300100001005101)</t>
  </si>
  <si>
    <t>Услуга: Реализация основных общеобразовательных программ  основного общего образования
(35791000300300101009101)</t>
  </si>
  <si>
    <t>Услуга: Реализация основных общеобразовательных программ  основного общего образования
(35791000100400101009101 адаптированная программа)</t>
  </si>
  <si>
    <t>Услуга:Реализация основных общеобразовательных программ среднего общего образования (36794000300300101006101)</t>
  </si>
  <si>
    <t>Услуга:Предоставление питания(34Д7000000000000005100)</t>
  </si>
  <si>
    <t>Услуга:Предоставление питания(35Д0700000000000009100)</t>
  </si>
  <si>
    <t>Услуга:Предоставление питания(36Д0700000000000007100)</t>
  </si>
  <si>
    <t>Услуга: Организация отдыха детей и молодежи
(10028000000000002005101)</t>
  </si>
  <si>
    <t>Услуга: Организация отдыха детей и молодежи
(10028000000000001006101)</t>
  </si>
  <si>
    <t xml:space="preserve">
гр.5/гр.17</t>
  </si>
  <si>
    <t xml:space="preserve">
гр.14/гр.17</t>
  </si>
  <si>
    <t>%
гр.5/гр.17</t>
  </si>
  <si>
    <t>%
гр.14/гр.17</t>
  </si>
  <si>
    <t xml:space="preserve">
гр.5/гр.16</t>
  </si>
  <si>
    <t xml:space="preserve">
гр.14/гр.16</t>
  </si>
  <si>
    <t>Приложение №1</t>
  </si>
  <si>
    <t>Нормативные затраты на единицу оказания муниципальной услуги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</si>
</sst>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54">
    <xf numFmtId="0" fontId="0" fillId="0" borderId="0" xfId="0"/>
    <xf numFmtId="0" fontId="0" fillId="0" borderId="7" xfId="0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left" vertical="center" indent="2"/>
    </xf>
    <xf numFmtId="2" fontId="0" fillId="0" borderId="0" xfId="0" applyNumberFormat="1"/>
    <xf numFmtId="0" fontId="7" fillId="0" borderId="0" xfId="0" applyFont="1"/>
    <xf numFmtId="0" fontId="7" fillId="0" borderId="7" xfId="0" applyFont="1" applyBorder="1"/>
    <xf numFmtId="0" fontId="7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40" xfId="0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0" fillId="0" borderId="42" xfId="0" applyBorder="1"/>
    <xf numFmtId="0" fontId="1" fillId="0" borderId="4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2" fontId="7" fillId="0" borderId="17" xfId="1" applyNumberFormat="1" applyFont="1" applyBorder="1" applyAlignment="1">
      <alignment horizontal="center" vertical="center" wrapText="1"/>
    </xf>
    <xf numFmtId="43" fontId="7" fillId="2" borderId="23" xfId="1" applyNumberFormat="1" applyFont="1" applyFill="1" applyBorder="1" applyAlignment="1">
      <alignment horizontal="center" vertical="center" wrapText="1"/>
    </xf>
    <xf numFmtId="43" fontId="7" fillId="0" borderId="23" xfId="1" applyNumberFormat="1" applyFont="1" applyBorder="1" applyAlignment="1">
      <alignment horizontal="center" vertical="center"/>
    </xf>
    <xf numFmtId="2" fontId="7" fillId="2" borderId="23" xfId="1" applyNumberFormat="1" applyFont="1" applyFill="1" applyBorder="1" applyAlignment="1">
      <alignment horizontal="center" vertical="center" wrapText="1"/>
    </xf>
    <xf numFmtId="43" fontId="7" fillId="0" borderId="24" xfId="1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43" fontId="7" fillId="0" borderId="25" xfId="1" applyFont="1" applyBorder="1" applyAlignment="1">
      <alignment horizontal="center" vertical="center" wrapText="1"/>
    </xf>
    <xf numFmtId="43" fontId="7" fillId="0" borderId="45" xfId="1" applyFont="1" applyBorder="1" applyAlignment="1">
      <alignment horizontal="center" vertical="center" wrapText="1"/>
    </xf>
    <xf numFmtId="43" fontId="7" fillId="0" borderId="45" xfId="1" applyFont="1" applyBorder="1" applyAlignment="1">
      <alignment horizontal="center" vertical="center"/>
    </xf>
    <xf numFmtId="43" fontId="7" fillId="0" borderId="25" xfId="1" applyFont="1" applyBorder="1" applyAlignment="1">
      <alignment horizontal="center" vertical="center"/>
    </xf>
    <xf numFmtId="43" fontId="7" fillId="0" borderId="26" xfId="1" applyFont="1" applyBorder="1" applyAlignment="1">
      <alignment horizontal="center" vertical="center"/>
    </xf>
    <xf numFmtId="2" fontId="7" fillId="0" borderId="25" xfId="1" applyNumberFormat="1" applyFont="1" applyBorder="1" applyAlignment="1">
      <alignment horizontal="center" vertical="center"/>
    </xf>
    <xf numFmtId="2" fontId="7" fillId="0" borderId="45" xfId="1" applyNumberFormat="1" applyFont="1" applyBorder="1" applyAlignment="1">
      <alignment horizontal="center" vertical="center" wrapText="1"/>
    </xf>
    <xf numFmtId="43" fontId="7" fillId="0" borderId="23" xfId="1" applyNumberFormat="1" applyFont="1" applyBorder="1" applyAlignment="1">
      <alignment horizontal="center" vertical="center" wrapText="1"/>
    </xf>
    <xf numFmtId="164" fontId="7" fillId="0" borderId="43" xfId="1" applyNumberFormat="1" applyFont="1" applyBorder="1" applyAlignment="1">
      <alignment horizontal="center" vertical="center" wrapText="1"/>
    </xf>
    <xf numFmtId="164" fontId="7" fillId="0" borderId="47" xfId="1" applyNumberFormat="1" applyFont="1" applyBorder="1" applyAlignment="1">
      <alignment horizontal="center" vertical="center" wrapText="1"/>
    </xf>
    <xf numFmtId="164" fontId="7" fillId="0" borderId="44" xfId="1" applyNumberFormat="1" applyFont="1" applyBorder="1" applyAlignment="1">
      <alignment vertical="center" wrapText="1"/>
    </xf>
    <xf numFmtId="0" fontId="3" fillId="0" borderId="48" xfId="0" applyFont="1" applyBorder="1" applyAlignment="1">
      <alignment horizontal="center"/>
    </xf>
    <xf numFmtId="43" fontId="7" fillId="0" borderId="28" xfId="1" applyFont="1" applyBorder="1" applyAlignment="1">
      <alignment horizontal="center" vertical="center"/>
    </xf>
    <xf numFmtId="43" fontId="7" fillId="0" borderId="29" xfId="1" applyFont="1" applyBorder="1" applyAlignment="1">
      <alignment horizontal="center" vertical="center"/>
    </xf>
    <xf numFmtId="164" fontId="7" fillId="0" borderId="50" xfId="1" applyNumberFormat="1" applyFont="1" applyBorder="1" applyAlignment="1">
      <alignment vertical="center"/>
    </xf>
    <xf numFmtId="164" fontId="7" fillId="0" borderId="43" xfId="1" applyNumberFormat="1" applyFont="1" applyBorder="1" applyAlignment="1">
      <alignment vertical="center" wrapText="1"/>
    </xf>
    <xf numFmtId="164" fontId="7" fillId="0" borderId="47" xfId="1" applyNumberFormat="1" applyFont="1" applyBorder="1" applyAlignment="1">
      <alignment vertical="center" wrapText="1"/>
    </xf>
    <xf numFmtId="43" fontId="7" fillId="2" borderId="51" xfId="1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6" xfId="0" applyFont="1" applyBorder="1"/>
    <xf numFmtId="2" fontId="7" fillId="0" borderId="25" xfId="1" applyNumberFormat="1" applyFont="1" applyBorder="1" applyAlignment="1">
      <alignment horizontal="center" vertical="center" wrapText="1"/>
    </xf>
    <xf numFmtId="2" fontId="7" fillId="0" borderId="28" xfId="1" applyNumberFormat="1" applyFont="1" applyBorder="1" applyAlignment="1">
      <alignment horizontal="center" vertical="center"/>
    </xf>
    <xf numFmtId="43" fontId="7" fillId="0" borderId="25" xfId="1" applyFont="1" applyBorder="1" applyAlignment="1">
      <alignment vertical="center"/>
    </xf>
    <xf numFmtId="43" fontId="7" fillId="0" borderId="45" xfId="1" applyFont="1" applyBorder="1" applyAlignment="1">
      <alignment vertical="center" wrapText="1"/>
    </xf>
    <xf numFmtId="43" fontId="7" fillId="0" borderId="24" xfId="1" applyNumberFormat="1" applyFont="1" applyBorder="1" applyAlignment="1">
      <alignment vertical="center" wrapText="1"/>
    </xf>
    <xf numFmtId="43" fontId="7" fillId="0" borderId="26" xfId="1" applyNumberFormat="1" applyFont="1" applyBorder="1" applyAlignment="1">
      <alignment vertical="center"/>
    </xf>
    <xf numFmtId="43" fontId="7" fillId="0" borderId="29" xfId="1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2" fontId="7" fillId="0" borderId="23" xfId="1" applyNumberFormat="1" applyFont="1" applyBorder="1" applyAlignment="1">
      <alignment horizontal="center" vertical="center"/>
    </xf>
    <xf numFmtId="43" fontId="7" fillId="2" borderId="25" xfId="1" applyFont="1" applyFill="1" applyBorder="1" applyAlignment="1">
      <alignment horizontal="center" vertical="center" wrapText="1"/>
    </xf>
    <xf numFmtId="2" fontId="7" fillId="2" borderId="25" xfId="1" applyNumberFormat="1" applyFont="1" applyFill="1" applyBorder="1" applyAlignment="1">
      <alignment horizontal="center" vertical="center" wrapText="1"/>
    </xf>
    <xf numFmtId="43" fontId="7" fillId="2" borderId="25" xfId="1" applyFont="1" applyFill="1" applyBorder="1" applyAlignment="1">
      <alignment horizontal="center" vertical="center"/>
    </xf>
    <xf numFmtId="2" fontId="7" fillId="2" borderId="25" xfId="1" applyNumberFormat="1" applyFont="1" applyFill="1" applyBorder="1" applyAlignment="1">
      <alignment horizontal="center" vertical="center"/>
    </xf>
    <xf numFmtId="2" fontId="7" fillId="2" borderId="45" xfId="1" applyNumberFormat="1" applyFont="1" applyFill="1" applyBorder="1" applyAlignment="1">
      <alignment horizontal="center" vertical="center" wrapText="1"/>
    </xf>
    <xf numFmtId="43" fontId="7" fillId="2" borderId="45" xfId="1" applyFont="1" applyFill="1" applyBorder="1" applyAlignment="1">
      <alignment horizontal="center" vertical="center" wrapText="1"/>
    </xf>
    <xf numFmtId="43" fontId="7" fillId="2" borderId="45" xfId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53" xfId="0" applyBorder="1"/>
    <xf numFmtId="0" fontId="0" fillId="0" borderId="54" xfId="0" applyBorder="1"/>
    <xf numFmtId="0" fontId="0" fillId="0" borderId="48" xfId="0" applyBorder="1"/>
    <xf numFmtId="43" fontId="7" fillId="2" borderId="17" xfId="1" applyFont="1" applyFill="1" applyBorder="1" applyAlignment="1">
      <alignment horizontal="center" vertical="center" wrapText="1"/>
    </xf>
    <xf numFmtId="2" fontId="7" fillId="2" borderId="17" xfId="1" applyNumberFormat="1" applyFont="1" applyFill="1" applyBorder="1" applyAlignment="1">
      <alignment horizontal="center" vertical="center" wrapText="1"/>
    </xf>
    <xf numFmtId="43" fontId="7" fillId="2" borderId="17" xfId="1" applyFont="1" applyFill="1" applyBorder="1" applyAlignment="1">
      <alignment horizontal="center" vertical="center"/>
    </xf>
    <xf numFmtId="2" fontId="7" fillId="2" borderId="17" xfId="1" applyNumberFormat="1" applyFont="1" applyFill="1" applyBorder="1" applyAlignment="1">
      <alignment horizontal="center" vertical="center"/>
    </xf>
    <xf numFmtId="164" fontId="7" fillId="2" borderId="17" xfId="1" applyNumberFormat="1" applyFont="1" applyFill="1" applyBorder="1" applyAlignment="1">
      <alignment vertical="center"/>
    </xf>
    <xf numFmtId="164" fontId="7" fillId="2" borderId="17" xfId="1" applyNumberFormat="1" applyFont="1" applyFill="1" applyBorder="1" applyAlignment="1">
      <alignment vertical="center" wrapText="1"/>
    </xf>
    <xf numFmtId="2" fontId="7" fillId="2" borderId="17" xfId="0" applyNumberFormat="1" applyFont="1" applyFill="1" applyBorder="1" applyAlignment="1">
      <alignment horizontal="center" vertical="center" wrapText="1"/>
    </xf>
    <xf numFmtId="2" fontId="0" fillId="2" borderId="17" xfId="0" applyNumberFormat="1" applyFill="1" applyBorder="1" applyAlignment="1">
      <alignment horizontal="center"/>
    </xf>
    <xf numFmtId="0" fontId="7" fillId="0" borderId="56" xfId="0" applyFont="1" applyBorder="1" applyAlignment="1">
      <alignment horizontal="left" vertical="center" wrapText="1"/>
    </xf>
    <xf numFmtId="2" fontId="7" fillId="0" borderId="57" xfId="0" applyNumberFormat="1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3" fontId="7" fillId="2" borderId="18" xfId="1" applyFont="1" applyFill="1" applyBorder="1" applyAlignment="1">
      <alignment horizontal="center" vertical="center" wrapText="1"/>
    </xf>
    <xf numFmtId="43" fontId="7" fillId="2" borderId="19" xfId="1" applyFont="1" applyFill="1" applyBorder="1" applyAlignment="1">
      <alignment horizontal="center" vertical="center" wrapText="1"/>
    </xf>
    <xf numFmtId="2" fontId="7" fillId="2" borderId="19" xfId="1" applyNumberFormat="1" applyFont="1" applyFill="1" applyBorder="1" applyAlignment="1">
      <alignment horizontal="center" vertical="center" wrapText="1"/>
    </xf>
    <xf numFmtId="43" fontId="7" fillId="2" borderId="19" xfId="1" applyFont="1" applyFill="1" applyBorder="1" applyAlignment="1">
      <alignment horizontal="center" vertical="center"/>
    </xf>
    <xf numFmtId="2" fontId="7" fillId="2" borderId="19" xfId="1" applyNumberFormat="1" applyFont="1" applyFill="1" applyBorder="1" applyAlignment="1">
      <alignment horizontal="center" vertical="center"/>
    </xf>
    <xf numFmtId="164" fontId="7" fillId="2" borderId="19" xfId="1" applyNumberFormat="1" applyFont="1" applyFill="1" applyBorder="1" applyAlignment="1">
      <alignment vertical="center"/>
    </xf>
    <xf numFmtId="43" fontId="7" fillId="2" borderId="20" xfId="1" applyNumberFormat="1" applyFont="1" applyFill="1" applyBorder="1" applyAlignment="1">
      <alignment vertical="center"/>
    </xf>
    <xf numFmtId="43" fontId="7" fillId="2" borderId="21" xfId="1" applyFont="1" applyFill="1" applyBorder="1" applyAlignment="1">
      <alignment horizontal="center" vertical="center" wrapText="1"/>
    </xf>
    <xf numFmtId="43" fontId="7" fillId="2" borderId="59" xfId="1" applyNumberFormat="1" applyFont="1" applyFill="1" applyBorder="1" applyAlignment="1">
      <alignment vertical="center"/>
    </xf>
    <xf numFmtId="2" fontId="7" fillId="2" borderId="21" xfId="1" applyNumberFormat="1" applyFont="1" applyFill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horizontal="center" vertical="center" wrapText="1"/>
    </xf>
    <xf numFmtId="2" fontId="7" fillId="2" borderId="55" xfId="0" applyNumberFormat="1" applyFont="1" applyFill="1" applyBorder="1" applyAlignment="1">
      <alignment horizontal="center" vertical="center" wrapText="1"/>
    </xf>
    <xf numFmtId="2" fontId="7" fillId="2" borderId="27" xfId="0" applyNumberFormat="1" applyFont="1" applyFill="1" applyBorder="1" applyAlignment="1">
      <alignment horizontal="center" vertical="center" wrapText="1"/>
    </xf>
    <xf numFmtId="43" fontId="7" fillId="2" borderId="27" xfId="1" applyFont="1" applyFill="1" applyBorder="1" applyAlignment="1">
      <alignment horizontal="center" vertical="center"/>
    </xf>
    <xf numFmtId="2" fontId="7" fillId="2" borderId="27" xfId="1" applyNumberFormat="1" applyFont="1" applyFill="1" applyBorder="1" applyAlignment="1">
      <alignment horizontal="center" vertical="center"/>
    </xf>
    <xf numFmtId="43" fontId="7" fillId="2" borderId="60" xfId="1" applyNumberFormat="1" applyFont="1" applyFill="1" applyBorder="1" applyAlignment="1">
      <alignment vertical="center"/>
    </xf>
    <xf numFmtId="2" fontId="7" fillId="2" borderId="22" xfId="0" applyNumberFormat="1" applyFont="1" applyFill="1" applyBorder="1" applyAlignment="1">
      <alignment horizontal="center" vertical="center" wrapText="1"/>
    </xf>
    <xf numFmtId="2" fontId="7" fillId="2" borderId="23" xfId="0" applyNumberFormat="1" applyFont="1" applyFill="1" applyBorder="1" applyAlignment="1">
      <alignment horizontal="center" vertical="center" wrapText="1"/>
    </xf>
    <xf numFmtId="2" fontId="7" fillId="2" borderId="24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64" fontId="7" fillId="2" borderId="50" xfId="1" applyNumberFormat="1" applyFont="1" applyFill="1" applyBorder="1" applyAlignment="1">
      <alignment vertical="center"/>
    </xf>
    <xf numFmtId="43" fontId="7" fillId="2" borderId="26" xfId="1" applyNumberFormat="1" applyFont="1" applyFill="1" applyBorder="1" applyAlignment="1">
      <alignment vertical="center"/>
    </xf>
    <xf numFmtId="2" fontId="0" fillId="2" borderId="0" xfId="0" applyNumberFormat="1" applyFill="1"/>
    <xf numFmtId="0" fontId="0" fillId="2" borderId="0" xfId="0" applyFill="1"/>
    <xf numFmtId="0" fontId="3" fillId="2" borderId="17" xfId="0" applyFont="1" applyFill="1" applyBorder="1" applyAlignment="1">
      <alignment horizontal="center" wrapText="1"/>
    </xf>
    <xf numFmtId="164" fontId="7" fillId="2" borderId="43" xfId="1" applyNumberFormat="1" applyFont="1" applyFill="1" applyBorder="1" applyAlignment="1">
      <alignment vertical="center" wrapText="1"/>
    </xf>
    <xf numFmtId="0" fontId="14" fillId="2" borderId="27" xfId="0" applyFont="1" applyFill="1" applyBorder="1" applyAlignment="1">
      <alignment horizontal="center" wrapText="1"/>
    </xf>
    <xf numFmtId="164" fontId="7" fillId="2" borderId="47" xfId="1" applyNumberFormat="1" applyFont="1" applyFill="1" applyBorder="1" applyAlignment="1">
      <alignment vertical="center" wrapText="1"/>
    </xf>
    <xf numFmtId="0" fontId="0" fillId="2" borderId="19" xfId="0" applyFill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1" fillId="0" borderId="3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B16" zoomScale="82" zoomScaleNormal="82" workbookViewId="0">
      <selection activeCell="U5" sqref="U5"/>
    </sheetView>
  </sheetViews>
  <sheetFormatPr defaultRowHeight="15" x14ac:dyDescent="0.25"/>
  <cols>
    <col min="1" max="1" width="42.28515625" customWidth="1"/>
    <col min="2" max="2" width="12.140625" customWidth="1"/>
    <col min="3" max="3" width="10.42578125" customWidth="1"/>
    <col min="5" max="5" width="12.28515625" customWidth="1"/>
    <col min="6" max="6" width="10" customWidth="1"/>
    <col min="7" max="7" width="10.42578125" customWidth="1"/>
    <col min="8" max="8" width="11.42578125" customWidth="1"/>
    <col min="9" max="9" width="11.140625" customWidth="1"/>
    <col min="14" max="14" width="10" customWidth="1"/>
    <col min="15" max="15" width="9.7109375" customWidth="1"/>
    <col min="16" max="16" width="14.28515625" customWidth="1"/>
    <col min="17" max="17" width="10" bestFit="1" customWidth="1"/>
    <col min="18" max="18" width="11.5703125" customWidth="1"/>
  </cols>
  <sheetData>
    <row r="1" spans="1:18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21" t="s">
        <v>87</v>
      </c>
      <c r="M1" s="121"/>
      <c r="N1" s="121"/>
      <c r="O1" s="121"/>
      <c r="P1" s="121"/>
      <c r="Q1" s="121"/>
      <c r="R1" s="121"/>
    </row>
    <row r="2" spans="1:18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21" t="s">
        <v>11</v>
      </c>
      <c r="M2" s="121"/>
      <c r="N2" s="121"/>
      <c r="O2" s="121"/>
      <c r="P2" s="121"/>
      <c r="Q2" s="121"/>
      <c r="R2" s="121"/>
    </row>
    <row r="3" spans="1:18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21" t="s">
        <v>33</v>
      </c>
      <c r="M3" s="121"/>
      <c r="N3" s="121"/>
      <c r="O3" s="121"/>
      <c r="P3" s="121"/>
      <c r="Q3" s="121"/>
      <c r="R3" s="121"/>
    </row>
    <row r="4" spans="1:18" ht="18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22"/>
      <c r="M4" s="121"/>
      <c r="N4" s="121"/>
      <c r="O4" s="121"/>
      <c r="P4" s="121"/>
      <c r="Q4" s="121"/>
      <c r="R4" s="121"/>
    </row>
    <row r="5" spans="1:18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x14ac:dyDescent="0.25">
      <c r="A7" s="119" t="s">
        <v>12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</row>
    <row r="8" spans="1:18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45" customHeight="1" x14ac:dyDescent="0.25">
      <c r="A9" s="120" t="s">
        <v>16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</row>
    <row r="10" spans="1:18" ht="13.5" customHeight="1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5.75" hidden="1" thickBot="1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02.75" customHeight="1" thickBot="1" x14ac:dyDescent="0.3">
      <c r="A12" s="131" t="s">
        <v>36</v>
      </c>
      <c r="B12" s="133" t="s">
        <v>38</v>
      </c>
      <c r="C12" s="134"/>
      <c r="D12" s="134"/>
      <c r="E12" s="134"/>
      <c r="F12" s="134"/>
      <c r="G12" s="139" t="s">
        <v>39</v>
      </c>
      <c r="H12" s="140"/>
      <c r="I12" s="140"/>
      <c r="J12" s="140"/>
      <c r="K12" s="140"/>
      <c r="L12" s="140"/>
      <c r="M12" s="140"/>
      <c r="N12" s="140"/>
      <c r="O12" s="141"/>
      <c r="P12" s="70" t="s">
        <v>1</v>
      </c>
      <c r="Q12" s="135" t="s">
        <v>2</v>
      </c>
      <c r="R12" s="123" t="s">
        <v>59</v>
      </c>
    </row>
    <row r="13" spans="1:18" ht="25.5" customHeight="1" x14ac:dyDescent="0.25">
      <c r="A13" s="132"/>
      <c r="B13" s="125" t="s">
        <v>3</v>
      </c>
      <c r="C13" s="125" t="s">
        <v>4</v>
      </c>
      <c r="D13" s="125" t="s">
        <v>5</v>
      </c>
      <c r="E13" s="127" t="s">
        <v>6</v>
      </c>
      <c r="F13" s="128"/>
      <c r="G13" s="129" t="s">
        <v>40</v>
      </c>
      <c r="H13" s="126" t="s">
        <v>37</v>
      </c>
      <c r="I13" s="126" t="s">
        <v>41</v>
      </c>
      <c r="J13" s="126" t="s">
        <v>42</v>
      </c>
      <c r="K13" s="129" t="s">
        <v>43</v>
      </c>
      <c r="L13" s="137" t="s">
        <v>44</v>
      </c>
      <c r="M13" s="142" t="s">
        <v>45</v>
      </c>
      <c r="N13" s="144" t="s">
        <v>7</v>
      </c>
      <c r="O13" s="145"/>
      <c r="P13" s="71" t="s">
        <v>47</v>
      </c>
      <c r="Q13" s="129"/>
      <c r="R13" s="124"/>
    </row>
    <row r="14" spans="1:18" ht="121.5" customHeight="1" thickBot="1" x14ac:dyDescent="0.3">
      <c r="A14" s="132"/>
      <c r="B14" s="126"/>
      <c r="C14" s="126"/>
      <c r="D14" s="126"/>
      <c r="E14" s="129"/>
      <c r="F14" s="130"/>
      <c r="G14" s="129"/>
      <c r="H14" s="126"/>
      <c r="I14" s="126"/>
      <c r="J14" s="126"/>
      <c r="K14" s="129"/>
      <c r="L14" s="138"/>
      <c r="M14" s="143"/>
      <c r="N14" s="146"/>
      <c r="O14" s="147"/>
      <c r="P14" s="18"/>
      <c r="Q14" s="136"/>
      <c r="R14" s="124"/>
    </row>
    <row r="15" spans="1:18" ht="36.75" customHeight="1" thickBot="1" x14ac:dyDescent="0.3">
      <c r="A15" s="15"/>
      <c r="B15" s="2" t="s">
        <v>10</v>
      </c>
      <c r="C15" s="2" t="s">
        <v>10</v>
      </c>
      <c r="D15" s="2" t="s">
        <v>10</v>
      </c>
      <c r="E15" s="2" t="s">
        <v>10</v>
      </c>
      <c r="F15" s="3" t="s">
        <v>81</v>
      </c>
      <c r="G15" s="2" t="s">
        <v>10</v>
      </c>
      <c r="H15" s="2" t="s">
        <v>10</v>
      </c>
      <c r="I15" s="2" t="s">
        <v>10</v>
      </c>
      <c r="J15" s="2" t="s">
        <v>10</v>
      </c>
      <c r="K15" s="2" t="s">
        <v>10</v>
      </c>
      <c r="L15" s="2" t="s">
        <v>10</v>
      </c>
      <c r="M15" s="2" t="s">
        <v>10</v>
      </c>
      <c r="N15" s="2" t="s">
        <v>10</v>
      </c>
      <c r="O15" s="3" t="s">
        <v>82</v>
      </c>
      <c r="P15" s="17" t="s">
        <v>10</v>
      </c>
      <c r="Q15" s="19" t="s">
        <v>70</v>
      </c>
      <c r="R15" s="3" t="s">
        <v>61</v>
      </c>
    </row>
    <row r="16" spans="1:18" ht="19.5" customHeight="1" thickBot="1" x14ac:dyDescent="0.3">
      <c r="A16" s="16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4">
        <v>16</v>
      </c>
      <c r="Q16" s="20">
        <v>17</v>
      </c>
      <c r="R16" s="42">
        <v>18</v>
      </c>
    </row>
    <row r="17" spans="1:20" ht="16.5" customHeight="1" thickBot="1" x14ac:dyDescent="0.3">
      <c r="A17" s="72" t="s">
        <v>8</v>
      </c>
      <c r="B17" s="73"/>
      <c r="C17" s="73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5"/>
      <c r="R17" s="76"/>
    </row>
    <row r="18" spans="1:20" ht="51" x14ac:dyDescent="0.25">
      <c r="A18" s="85" t="s">
        <v>71</v>
      </c>
      <c r="B18" s="90">
        <v>14745.06</v>
      </c>
      <c r="C18" s="91">
        <v>1243.6400000000001</v>
      </c>
      <c r="D18" s="92">
        <v>0</v>
      </c>
      <c r="E18" s="93">
        <f>SUM(B18:D18)</f>
        <v>15988.699999999999</v>
      </c>
      <c r="F18" s="94">
        <f>E18/Q18</f>
        <v>34.018510638297869</v>
      </c>
      <c r="G18" s="94">
        <v>11544.92</v>
      </c>
      <c r="H18" s="94">
        <v>1624.72</v>
      </c>
      <c r="I18" s="94">
        <v>403.34</v>
      </c>
      <c r="J18" s="94">
        <v>150.46</v>
      </c>
      <c r="K18" s="94">
        <v>93.41</v>
      </c>
      <c r="L18" s="94">
        <v>0</v>
      </c>
      <c r="M18" s="94">
        <v>2000.74</v>
      </c>
      <c r="N18" s="94">
        <f>SUM(G18:M18)</f>
        <v>15817.589999999998</v>
      </c>
      <c r="O18" s="94">
        <f>N18/Q18</f>
        <v>33.654446808510635</v>
      </c>
      <c r="P18" s="93">
        <f>E18+N18</f>
        <v>31806.289999999997</v>
      </c>
      <c r="Q18" s="95">
        <v>470</v>
      </c>
      <c r="R18" s="96">
        <f>P18/Q18</f>
        <v>67.67295744680851</v>
      </c>
      <c r="S18" s="13"/>
      <c r="T18" s="13"/>
    </row>
    <row r="19" spans="1:20" ht="51" x14ac:dyDescent="0.25">
      <c r="A19" s="86" t="s">
        <v>72</v>
      </c>
      <c r="B19" s="97">
        <v>62.74</v>
      </c>
      <c r="C19" s="77">
        <v>5.29</v>
      </c>
      <c r="D19" s="78">
        <v>0</v>
      </c>
      <c r="E19" s="79">
        <f t="shared" ref="E19:E27" si="0">SUM(B19:D19)</f>
        <v>68.03</v>
      </c>
      <c r="F19" s="80">
        <f t="shared" ref="F19:F27" si="1">E19/Q19</f>
        <v>34.015000000000001</v>
      </c>
      <c r="G19" s="80">
        <v>49.13</v>
      </c>
      <c r="H19" s="80">
        <v>6.91</v>
      </c>
      <c r="I19" s="80">
        <v>1.72</v>
      </c>
      <c r="J19" s="80">
        <v>0.64</v>
      </c>
      <c r="K19" s="80">
        <v>0.4</v>
      </c>
      <c r="L19" s="80">
        <v>0</v>
      </c>
      <c r="M19" s="80">
        <v>8.51</v>
      </c>
      <c r="N19" s="80">
        <f t="shared" ref="N19:N27" si="2">SUM(G19:M19)</f>
        <v>67.31</v>
      </c>
      <c r="O19" s="80">
        <f t="shared" ref="O19:O27" si="3">N19/P19</f>
        <v>0.49734003251071374</v>
      </c>
      <c r="P19" s="79">
        <f t="shared" ref="P19:P27" si="4">E19+N19</f>
        <v>135.34</v>
      </c>
      <c r="Q19" s="81">
        <v>2</v>
      </c>
      <c r="R19" s="98">
        <f t="shared" ref="R19:R27" si="5">P19/Q19</f>
        <v>67.67</v>
      </c>
      <c r="S19" s="13"/>
      <c r="T19" s="13"/>
    </row>
    <row r="20" spans="1:20" ht="51.75" customHeight="1" x14ac:dyDescent="0.25">
      <c r="A20" s="86" t="s">
        <v>73</v>
      </c>
      <c r="B20" s="97">
        <v>25217.59</v>
      </c>
      <c r="C20" s="77">
        <v>1148.3800000000001</v>
      </c>
      <c r="D20" s="78">
        <v>0</v>
      </c>
      <c r="E20" s="79">
        <f t="shared" si="0"/>
        <v>26365.97</v>
      </c>
      <c r="F20" s="80">
        <f t="shared" si="1"/>
        <v>60.75108294930876</v>
      </c>
      <c r="G20" s="80">
        <v>10660.63</v>
      </c>
      <c r="H20" s="80">
        <v>1282.5899999999999</v>
      </c>
      <c r="I20" s="80">
        <v>318.41000000000003</v>
      </c>
      <c r="J20" s="80">
        <v>138.94</v>
      </c>
      <c r="K20" s="80">
        <v>86.26</v>
      </c>
      <c r="L20" s="80">
        <v>0</v>
      </c>
      <c r="M20" s="80">
        <v>1803.38</v>
      </c>
      <c r="N20" s="80">
        <f t="shared" si="2"/>
        <v>14290.21</v>
      </c>
      <c r="O20" s="80">
        <f t="shared" si="3"/>
        <v>0.35148924468555576</v>
      </c>
      <c r="P20" s="79">
        <f t="shared" si="4"/>
        <v>40656.18</v>
      </c>
      <c r="Q20" s="81">
        <v>434</v>
      </c>
      <c r="R20" s="98">
        <f t="shared" si="5"/>
        <v>93.677834101382487</v>
      </c>
      <c r="S20" s="13"/>
      <c r="T20" s="13"/>
    </row>
    <row r="21" spans="1:20" ht="68.25" customHeight="1" x14ac:dyDescent="0.25">
      <c r="A21" s="86" t="s">
        <v>74</v>
      </c>
      <c r="B21" s="99">
        <v>116.21</v>
      </c>
      <c r="C21" s="77">
        <v>5.29</v>
      </c>
      <c r="D21" s="78">
        <v>0</v>
      </c>
      <c r="E21" s="79">
        <f t="shared" si="0"/>
        <v>121.5</v>
      </c>
      <c r="F21" s="80">
        <f t="shared" si="1"/>
        <v>60.75</v>
      </c>
      <c r="G21" s="80">
        <v>49.13</v>
      </c>
      <c r="H21" s="80">
        <v>5.91</v>
      </c>
      <c r="I21" s="78">
        <v>1.47</v>
      </c>
      <c r="J21" s="80">
        <v>0.64</v>
      </c>
      <c r="K21" s="80">
        <v>0.4</v>
      </c>
      <c r="L21" s="78">
        <v>0</v>
      </c>
      <c r="M21" s="80">
        <v>8.31</v>
      </c>
      <c r="N21" s="80">
        <f t="shared" si="2"/>
        <v>65.86</v>
      </c>
      <c r="O21" s="80">
        <f t="shared" si="3"/>
        <v>0.35151579846285225</v>
      </c>
      <c r="P21" s="79">
        <f t="shared" si="4"/>
        <v>187.36</v>
      </c>
      <c r="Q21" s="82">
        <v>2</v>
      </c>
      <c r="R21" s="98">
        <f t="shared" si="5"/>
        <v>93.68</v>
      </c>
      <c r="S21" s="13"/>
      <c r="T21" s="13"/>
    </row>
    <row r="22" spans="1:20" ht="58.5" customHeight="1" x14ac:dyDescent="0.25">
      <c r="A22" s="87" t="s">
        <v>75</v>
      </c>
      <c r="B22" s="99">
        <v>4590.3</v>
      </c>
      <c r="C22" s="77">
        <v>209.04</v>
      </c>
      <c r="D22" s="78">
        <v>0</v>
      </c>
      <c r="E22" s="79">
        <f t="shared" si="0"/>
        <v>4799.34</v>
      </c>
      <c r="F22" s="80">
        <f t="shared" si="1"/>
        <v>60.751139240506333</v>
      </c>
      <c r="G22" s="80">
        <v>1940.53</v>
      </c>
      <c r="H22" s="78">
        <v>233.47</v>
      </c>
      <c r="I22" s="78">
        <v>57.96</v>
      </c>
      <c r="J22" s="80">
        <v>25.29</v>
      </c>
      <c r="K22" s="78">
        <v>15.7</v>
      </c>
      <c r="L22" s="78">
        <v>0</v>
      </c>
      <c r="M22" s="80">
        <v>328.28</v>
      </c>
      <c r="N22" s="80">
        <f t="shared" si="2"/>
        <v>2601.2299999999996</v>
      </c>
      <c r="O22" s="80">
        <f t="shared" si="3"/>
        <v>0.35149049329984039</v>
      </c>
      <c r="P22" s="79">
        <f t="shared" si="4"/>
        <v>7400.57</v>
      </c>
      <c r="Q22" s="82">
        <v>79</v>
      </c>
      <c r="R22" s="98">
        <f t="shared" si="5"/>
        <v>93.678101265822775</v>
      </c>
      <c r="S22" s="13"/>
      <c r="T22" s="13"/>
    </row>
    <row r="23" spans="1:20" ht="25.5" x14ac:dyDescent="0.25">
      <c r="A23" s="87" t="s">
        <v>76</v>
      </c>
      <c r="B23" s="100">
        <v>0</v>
      </c>
      <c r="C23" s="83">
        <f>3270.4+325</f>
        <v>3595.4</v>
      </c>
      <c r="D23" s="84">
        <v>0</v>
      </c>
      <c r="E23" s="79">
        <f t="shared" si="0"/>
        <v>3595.4</v>
      </c>
      <c r="F23" s="80">
        <f t="shared" si="1"/>
        <v>7.6173728813559327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0">
        <f t="shared" si="2"/>
        <v>0</v>
      </c>
      <c r="O23" s="80">
        <f t="shared" si="3"/>
        <v>0</v>
      </c>
      <c r="P23" s="79">
        <f t="shared" si="4"/>
        <v>3595.4</v>
      </c>
      <c r="Q23" s="83">
        <v>472</v>
      </c>
      <c r="R23" s="98">
        <f t="shared" si="5"/>
        <v>7.6173728813559327</v>
      </c>
      <c r="S23" s="13"/>
      <c r="T23" s="13"/>
    </row>
    <row r="24" spans="1:20" ht="25.5" x14ac:dyDescent="0.25">
      <c r="A24" s="87" t="s">
        <v>77</v>
      </c>
      <c r="B24" s="100">
        <v>0</v>
      </c>
      <c r="C24" s="83">
        <f>1951.36</f>
        <v>1951.36</v>
      </c>
      <c r="D24" s="84">
        <v>0</v>
      </c>
      <c r="E24" s="79">
        <f t="shared" si="0"/>
        <v>1951.36</v>
      </c>
      <c r="F24" s="80">
        <f t="shared" si="1"/>
        <v>4.4755963302752289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0">
        <f t="shared" si="2"/>
        <v>0</v>
      </c>
      <c r="O24" s="80">
        <f t="shared" si="3"/>
        <v>0</v>
      </c>
      <c r="P24" s="79">
        <f t="shared" si="4"/>
        <v>1951.36</v>
      </c>
      <c r="Q24" s="83">
        <v>436</v>
      </c>
      <c r="R24" s="98">
        <f t="shared" si="5"/>
        <v>4.4755963302752289</v>
      </c>
      <c r="S24" s="13"/>
      <c r="T24" s="13"/>
    </row>
    <row r="25" spans="1:20" ht="25.5" x14ac:dyDescent="0.25">
      <c r="A25" s="87" t="s">
        <v>78</v>
      </c>
      <c r="B25" s="100">
        <v>0</v>
      </c>
      <c r="C25" s="83">
        <f>320.24</f>
        <v>320.24</v>
      </c>
      <c r="D25" s="84">
        <v>0</v>
      </c>
      <c r="E25" s="79">
        <f t="shared" si="0"/>
        <v>320.24</v>
      </c>
      <c r="F25" s="80">
        <f t="shared" si="1"/>
        <v>4.0536708860759498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0">
        <f t="shared" si="2"/>
        <v>0</v>
      </c>
      <c r="O25" s="80">
        <f t="shared" si="3"/>
        <v>0</v>
      </c>
      <c r="P25" s="79">
        <f t="shared" si="4"/>
        <v>320.24</v>
      </c>
      <c r="Q25" s="83">
        <v>79</v>
      </c>
      <c r="R25" s="98">
        <f t="shared" si="5"/>
        <v>4.0536708860759498</v>
      </c>
      <c r="S25" s="13"/>
      <c r="T25" s="13"/>
    </row>
    <row r="26" spans="1:20" ht="25.5" x14ac:dyDescent="0.25">
      <c r="A26" s="87" t="s">
        <v>79</v>
      </c>
      <c r="B26" s="100">
        <v>0</v>
      </c>
      <c r="C26" s="83">
        <v>601.20000000000005</v>
      </c>
      <c r="D26" s="83">
        <v>0</v>
      </c>
      <c r="E26" s="79">
        <f t="shared" si="0"/>
        <v>601.20000000000005</v>
      </c>
      <c r="F26" s="80">
        <f t="shared" si="1"/>
        <v>2.6720000000000002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360.06</v>
      </c>
      <c r="N26" s="80">
        <f t="shared" si="2"/>
        <v>360.06</v>
      </c>
      <c r="O26" s="80">
        <f t="shared" si="3"/>
        <v>0.37457087572561015</v>
      </c>
      <c r="P26" s="79">
        <f t="shared" si="4"/>
        <v>961.26</v>
      </c>
      <c r="Q26" s="83">
        <v>225</v>
      </c>
      <c r="R26" s="98">
        <f t="shared" si="5"/>
        <v>4.2722666666666669</v>
      </c>
      <c r="S26" s="13"/>
      <c r="T26" s="13"/>
    </row>
    <row r="27" spans="1:20" ht="26.25" thickBot="1" x14ac:dyDescent="0.3">
      <c r="A27" s="88" t="s">
        <v>80</v>
      </c>
      <c r="B27" s="101">
        <v>0</v>
      </c>
      <c r="C27" s="102">
        <v>59.68</v>
      </c>
      <c r="D27" s="102">
        <v>0</v>
      </c>
      <c r="E27" s="103">
        <f t="shared" si="0"/>
        <v>59.68</v>
      </c>
      <c r="F27" s="104">
        <f t="shared" si="1"/>
        <v>2.984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4">
        <f t="shared" si="2"/>
        <v>0</v>
      </c>
      <c r="O27" s="104">
        <f t="shared" si="3"/>
        <v>0</v>
      </c>
      <c r="P27" s="103">
        <f t="shared" si="4"/>
        <v>59.68</v>
      </c>
      <c r="Q27" s="102">
        <v>20</v>
      </c>
      <c r="R27" s="105">
        <f t="shared" si="5"/>
        <v>2.984</v>
      </c>
      <c r="S27" s="13"/>
      <c r="T27" s="13"/>
    </row>
    <row r="28" spans="1:20" ht="15.75" thickBot="1" x14ac:dyDescent="0.3">
      <c r="A28" s="89" t="s">
        <v>9</v>
      </c>
      <c r="B28" s="106">
        <f>SUM(B18:B27)</f>
        <v>44731.9</v>
      </c>
      <c r="C28" s="107">
        <f>SUM(C18:C27)</f>
        <v>9139.5200000000023</v>
      </c>
      <c r="D28" s="107">
        <f>SUM(D18:D27)</f>
        <v>0</v>
      </c>
      <c r="E28" s="107">
        <f>SUM(E18:E27)</f>
        <v>53871.419999999991</v>
      </c>
      <c r="F28" s="107">
        <f>E28/Q28</f>
        <v>24.277341144659754</v>
      </c>
      <c r="G28" s="107">
        <f>SUM(G18:G27)</f>
        <v>24244.34</v>
      </c>
      <c r="H28" s="107">
        <f t="shared" ref="H28:N28" si="6">SUM(H18:H27)</f>
        <v>3153.6</v>
      </c>
      <c r="I28" s="107">
        <f t="shared" si="6"/>
        <v>782.90000000000009</v>
      </c>
      <c r="J28" s="107">
        <f t="shared" si="6"/>
        <v>315.96999999999997</v>
      </c>
      <c r="K28" s="107">
        <f t="shared" si="6"/>
        <v>196.17</v>
      </c>
      <c r="L28" s="107">
        <f t="shared" si="6"/>
        <v>0</v>
      </c>
      <c r="M28" s="107">
        <f t="shared" si="6"/>
        <v>4509.2800000000007</v>
      </c>
      <c r="N28" s="107">
        <f t="shared" si="6"/>
        <v>33202.259999999995</v>
      </c>
      <c r="O28" s="107">
        <f>N28/Q28</f>
        <v>14.962712933753942</v>
      </c>
      <c r="P28" s="107">
        <f>SUM(P18:P27)</f>
        <v>87073.679999999978</v>
      </c>
      <c r="Q28" s="107">
        <f>SUM(Q18:Q27)</f>
        <v>2219</v>
      </c>
      <c r="R28" s="108">
        <f>P28/Q28</f>
        <v>39.240054078413692</v>
      </c>
    </row>
    <row r="29" spans="1:20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20" ht="15.75" x14ac:dyDescent="0.25">
      <c r="A30" s="12" t="s">
        <v>26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20" ht="15.75" x14ac:dyDescent="0.25">
      <c r="A31" s="12" t="s">
        <v>27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20" ht="15.75" x14ac:dyDescent="0.25">
      <c r="A32" s="12" t="s">
        <v>28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5.75" x14ac:dyDescent="0.25">
      <c r="A33" s="12" t="s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5.75" x14ac:dyDescent="0.25">
      <c r="A34" s="12" t="s">
        <v>30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5.75" x14ac:dyDescent="0.25">
      <c r="A35" s="12" t="s">
        <v>31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</sheetData>
  <mergeCells count="23">
    <mergeCell ref="A12:A14"/>
    <mergeCell ref="B12:F12"/>
    <mergeCell ref="Q12:Q14"/>
    <mergeCell ref="L13:L14"/>
    <mergeCell ref="G12:O12"/>
    <mergeCell ref="M13:M14"/>
    <mergeCell ref="N13:O14"/>
    <mergeCell ref="R12:R14"/>
    <mergeCell ref="B13:B14"/>
    <mergeCell ref="C13:C14"/>
    <mergeCell ref="D13:D14"/>
    <mergeCell ref="E13:F14"/>
    <mergeCell ref="I13:I14"/>
    <mergeCell ref="J13:J14"/>
    <mergeCell ref="K13:K14"/>
    <mergeCell ref="H13:H14"/>
    <mergeCell ref="G13:G14"/>
    <mergeCell ref="A7:R7"/>
    <mergeCell ref="A9:R9"/>
    <mergeCell ref="L1:R1"/>
    <mergeCell ref="L2:R2"/>
    <mergeCell ref="L3:R3"/>
    <mergeCell ref="L4:R4"/>
  </mergeCells>
  <pageMargins left="0.78740157480314965" right="0.78740157480314965" top="0.98425196850393704" bottom="0.59055118110236227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="86" zoomScaleNormal="86" workbookViewId="0">
      <selection activeCell="K4" sqref="K4:R4"/>
    </sheetView>
  </sheetViews>
  <sheetFormatPr defaultRowHeight="15" x14ac:dyDescent="0.25"/>
  <cols>
    <col min="1" max="1" width="38" customWidth="1"/>
    <col min="2" max="2" width="11.28515625" customWidth="1"/>
    <col min="3" max="3" width="9.85546875" customWidth="1"/>
    <col min="5" max="5" width="12" customWidth="1"/>
    <col min="6" max="6" width="10.85546875" customWidth="1"/>
    <col min="7" max="7" width="10.5703125" customWidth="1"/>
    <col min="14" max="14" width="11.28515625" customWidth="1"/>
    <col min="15" max="15" width="11.42578125" customWidth="1"/>
    <col min="16" max="16" width="14.42578125" customWidth="1"/>
    <col min="17" max="17" width="10.5703125" customWidth="1"/>
  </cols>
  <sheetData>
    <row r="1" spans="1:18" ht="15.75" x14ac:dyDescent="0.25">
      <c r="K1" s="151" t="s">
        <v>18</v>
      </c>
      <c r="L1" s="151"/>
      <c r="M1" s="151"/>
      <c r="N1" s="151"/>
      <c r="O1" s="151"/>
      <c r="P1" s="151"/>
      <c r="Q1" s="151"/>
      <c r="R1" s="151"/>
    </row>
    <row r="2" spans="1:18" ht="15.75" x14ac:dyDescent="0.25">
      <c r="K2" s="151" t="s">
        <v>11</v>
      </c>
      <c r="L2" s="151"/>
      <c r="M2" s="151"/>
      <c r="N2" s="151"/>
      <c r="O2" s="151"/>
      <c r="P2" s="151"/>
      <c r="Q2" s="151"/>
      <c r="R2" s="151"/>
    </row>
    <row r="3" spans="1:18" x14ac:dyDescent="0.25">
      <c r="K3" s="121" t="s">
        <v>33</v>
      </c>
      <c r="L3" s="121"/>
      <c r="M3" s="121"/>
      <c r="N3" s="121"/>
      <c r="O3" s="121"/>
      <c r="P3" s="121"/>
      <c r="Q3" s="121"/>
      <c r="R3" s="121"/>
    </row>
    <row r="4" spans="1:18" ht="18.75" customHeight="1" x14ac:dyDescent="0.25">
      <c r="K4" s="152"/>
      <c r="L4" s="152"/>
      <c r="M4" s="152"/>
      <c r="N4" s="152"/>
      <c r="O4" s="152"/>
      <c r="P4" s="152"/>
      <c r="Q4" s="152"/>
      <c r="R4" s="152"/>
    </row>
    <row r="7" spans="1:18" ht="15.75" x14ac:dyDescent="0.25">
      <c r="A7" s="153" t="s">
        <v>12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18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35.25" customHeight="1" x14ac:dyDescent="0.25">
      <c r="A9" s="150" t="s">
        <v>17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</row>
    <row r="11" spans="1:18" ht="15.75" thickBot="1" x14ac:dyDescent="0.3"/>
    <row r="12" spans="1:18" ht="68.25" customHeight="1" thickBot="1" x14ac:dyDescent="0.3">
      <c r="A12" s="148" t="s">
        <v>0</v>
      </c>
      <c r="B12" s="133" t="s">
        <v>38</v>
      </c>
      <c r="C12" s="134"/>
      <c r="D12" s="134"/>
      <c r="E12" s="134"/>
      <c r="F12" s="134"/>
      <c r="G12" s="139" t="s">
        <v>39</v>
      </c>
      <c r="H12" s="140"/>
      <c r="I12" s="140"/>
      <c r="J12" s="140"/>
      <c r="K12" s="140"/>
      <c r="L12" s="140"/>
      <c r="M12" s="140"/>
      <c r="N12" s="140"/>
      <c r="O12" s="141"/>
      <c r="P12" s="23" t="s">
        <v>1</v>
      </c>
      <c r="Q12" s="135" t="s">
        <v>2</v>
      </c>
      <c r="R12" s="123" t="s">
        <v>88</v>
      </c>
    </row>
    <row r="13" spans="1:18" ht="22.5" customHeight="1" x14ac:dyDescent="0.25">
      <c r="A13" s="149"/>
      <c r="B13" s="125" t="s">
        <v>3</v>
      </c>
      <c r="C13" s="125" t="s">
        <v>4</v>
      </c>
      <c r="D13" s="125" t="s">
        <v>5</v>
      </c>
      <c r="E13" s="127" t="s">
        <v>6</v>
      </c>
      <c r="F13" s="128"/>
      <c r="G13" s="129" t="s">
        <v>40</v>
      </c>
      <c r="H13" s="126" t="s">
        <v>37</v>
      </c>
      <c r="I13" s="126" t="s">
        <v>41</v>
      </c>
      <c r="J13" s="126" t="s">
        <v>42</v>
      </c>
      <c r="K13" s="129" t="s">
        <v>43</v>
      </c>
      <c r="L13" s="137" t="s">
        <v>44</v>
      </c>
      <c r="M13" s="142" t="s">
        <v>45</v>
      </c>
      <c r="N13" s="144" t="s">
        <v>7</v>
      </c>
      <c r="O13" s="145"/>
      <c r="P13" s="24" t="s">
        <v>47</v>
      </c>
      <c r="Q13" s="129"/>
      <c r="R13" s="124"/>
    </row>
    <row r="14" spans="1:18" ht="68.25" customHeight="1" thickBot="1" x14ac:dyDescent="0.3">
      <c r="A14" s="149"/>
      <c r="B14" s="126"/>
      <c r="C14" s="126"/>
      <c r="D14" s="126"/>
      <c r="E14" s="129"/>
      <c r="F14" s="130"/>
      <c r="G14" s="129"/>
      <c r="H14" s="126"/>
      <c r="I14" s="126"/>
      <c r="J14" s="126"/>
      <c r="K14" s="129"/>
      <c r="L14" s="138"/>
      <c r="M14" s="143"/>
      <c r="N14" s="146"/>
      <c r="O14" s="147"/>
      <c r="P14" s="18"/>
      <c r="Q14" s="136"/>
      <c r="R14" s="124"/>
    </row>
    <row r="15" spans="1:18" ht="38.25" customHeight="1" thickBot="1" x14ac:dyDescent="0.3">
      <c r="A15" s="1"/>
      <c r="B15" s="2" t="s">
        <v>10</v>
      </c>
      <c r="C15" s="2" t="s">
        <v>10</v>
      </c>
      <c r="D15" s="2" t="s">
        <v>10</v>
      </c>
      <c r="E15" s="2" t="s">
        <v>10</v>
      </c>
      <c r="F15" s="3" t="s">
        <v>83</v>
      </c>
      <c r="G15" s="2" t="s">
        <v>10</v>
      </c>
      <c r="H15" s="2" t="s">
        <v>10</v>
      </c>
      <c r="I15" s="2" t="s">
        <v>10</v>
      </c>
      <c r="J15" s="2" t="s">
        <v>10</v>
      </c>
      <c r="K15" s="2" t="s">
        <v>10</v>
      </c>
      <c r="L15" s="2" t="s">
        <v>10</v>
      </c>
      <c r="M15" s="2" t="s">
        <v>10</v>
      </c>
      <c r="N15" s="2" t="s">
        <v>10</v>
      </c>
      <c r="O15" s="3" t="s">
        <v>84</v>
      </c>
      <c r="P15" s="17" t="s">
        <v>10</v>
      </c>
      <c r="Q15" s="19" t="s">
        <v>70</v>
      </c>
      <c r="R15" s="3" t="s">
        <v>61</v>
      </c>
    </row>
    <row r="16" spans="1:18" ht="19.5" customHeight="1" thickBot="1" x14ac:dyDescent="0.3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4">
        <v>16</v>
      </c>
      <c r="Q16" s="20">
        <v>17</v>
      </c>
      <c r="R16" s="42">
        <v>18</v>
      </c>
    </row>
    <row r="17" spans="1:20" x14ac:dyDescent="0.25">
      <c r="A17" s="5" t="s">
        <v>8</v>
      </c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1"/>
      <c r="R17" s="8"/>
    </row>
    <row r="18" spans="1:20" s="113" customFormat="1" ht="48" x14ac:dyDescent="0.25">
      <c r="A18" s="109" t="s">
        <v>65</v>
      </c>
      <c r="B18" s="63">
        <f>18782.95/343*89</f>
        <v>4873.7100583090378</v>
      </c>
      <c r="C18" s="63">
        <f>(320.71+12.305)/343*89</f>
        <v>86.409139941690967</v>
      </c>
      <c r="D18" s="64">
        <v>0</v>
      </c>
      <c r="E18" s="65">
        <f>SUM(B18:D18)</f>
        <v>4960.1191982507289</v>
      </c>
      <c r="F18" s="65">
        <f>E18/Q18</f>
        <v>55.731676384839652</v>
      </c>
      <c r="G18" s="66">
        <f>(6296.91+137.64)/343*89</f>
        <v>1669.6062682215743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f>SUM(G18:M18)</f>
        <v>1669.6062682215743</v>
      </c>
      <c r="O18" s="66">
        <f>N18/Q18</f>
        <v>18.759620991253644</v>
      </c>
      <c r="P18" s="65">
        <f>E18+N18</f>
        <v>6629.7254664723032</v>
      </c>
      <c r="Q18" s="110">
        <v>89</v>
      </c>
      <c r="R18" s="111">
        <f>P18/Q18</f>
        <v>74.4912973760933</v>
      </c>
      <c r="S18" s="112"/>
      <c r="T18" s="112"/>
    </row>
    <row r="19" spans="1:20" s="113" customFormat="1" ht="52.5" customHeight="1" x14ac:dyDescent="0.25">
      <c r="A19" s="109" t="s">
        <v>66</v>
      </c>
      <c r="B19" s="63">
        <f>18782.95/343*224</f>
        <v>12266.416326530612</v>
      </c>
      <c r="C19" s="63">
        <f>(320.71+12.305)/343*224</f>
        <v>217.47918367346938</v>
      </c>
      <c r="D19" s="64">
        <v>0</v>
      </c>
      <c r="E19" s="65">
        <f t="shared" ref="E19:E21" si="0">SUM(B19:D19)</f>
        <v>12483.895510204082</v>
      </c>
      <c r="F19" s="65">
        <f t="shared" ref="F19:F22" si="1">E19/Q19</f>
        <v>55.731676384839652</v>
      </c>
      <c r="G19" s="66">
        <f>(6296.91+137.64)/343*224</f>
        <v>4202.155102040816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f t="shared" ref="N19:N20" si="2">SUM(G19:M19)</f>
        <v>4202.155102040816</v>
      </c>
      <c r="O19" s="66">
        <f t="shared" ref="O19:O22" si="3">N19/Q19</f>
        <v>18.759620991253644</v>
      </c>
      <c r="P19" s="65">
        <f t="shared" ref="P19:P21" si="4">E19+N19</f>
        <v>16686.050612244897</v>
      </c>
      <c r="Q19" s="110">
        <v>224</v>
      </c>
      <c r="R19" s="111">
        <f t="shared" ref="R19:R22" si="5">P19/Q19</f>
        <v>74.491297376093286</v>
      </c>
      <c r="S19" s="112"/>
      <c r="T19" s="112"/>
    </row>
    <row r="20" spans="1:20" s="113" customFormat="1" ht="60" x14ac:dyDescent="0.25">
      <c r="A20" s="109" t="s">
        <v>68</v>
      </c>
      <c r="B20" s="63">
        <f>18782.95/343*30</f>
        <v>1642.8236151603498</v>
      </c>
      <c r="C20" s="63">
        <f>(320.71+12.305)/343*30</f>
        <v>29.126676384839651</v>
      </c>
      <c r="D20" s="64">
        <v>0</v>
      </c>
      <c r="E20" s="65">
        <f t="shared" si="0"/>
        <v>1671.9502915451894</v>
      </c>
      <c r="F20" s="65">
        <f t="shared" si="1"/>
        <v>55.731676384839645</v>
      </c>
      <c r="G20" s="66">
        <f>(6296.91+137.64)/343*30</f>
        <v>562.78862973760931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f t="shared" si="2"/>
        <v>562.78862973760931</v>
      </c>
      <c r="O20" s="66">
        <f t="shared" si="3"/>
        <v>18.759620991253644</v>
      </c>
      <c r="P20" s="65">
        <f t="shared" si="4"/>
        <v>2234.7389212827989</v>
      </c>
      <c r="Q20" s="110">
        <v>30</v>
      </c>
      <c r="R20" s="111">
        <f t="shared" si="5"/>
        <v>74.4912973760933</v>
      </c>
    </row>
    <row r="21" spans="1:20" s="113" customFormat="1" ht="36.75" x14ac:dyDescent="0.25">
      <c r="A21" s="114" t="s">
        <v>67</v>
      </c>
      <c r="B21" s="64">
        <v>0</v>
      </c>
      <c r="C21" s="63">
        <f>608.22/343*89</f>
        <v>157.81801749271139</v>
      </c>
      <c r="D21" s="64">
        <v>0</v>
      </c>
      <c r="E21" s="65">
        <f t="shared" si="0"/>
        <v>157.81801749271139</v>
      </c>
      <c r="F21" s="65">
        <f t="shared" si="1"/>
        <v>1.7732361516034987</v>
      </c>
      <c r="G21" s="66">
        <f>(9555.69+275.4)/343*89</f>
        <v>2550.9242274052481</v>
      </c>
      <c r="H21" s="66">
        <f>1820/343*89</f>
        <v>472.24489795918362</v>
      </c>
      <c r="I21" s="78">
        <f>357.34/343*89</f>
        <v>92.720874635568521</v>
      </c>
      <c r="J21" s="66">
        <f>949.51/343*89</f>
        <v>246.37431486880465</v>
      </c>
      <c r="K21" s="66">
        <f>125/343*89</f>
        <v>32.434402332361515</v>
      </c>
      <c r="L21" s="78">
        <v>0</v>
      </c>
      <c r="M21" s="66">
        <f>643.34/343*89</f>
        <v>166.93078717201169</v>
      </c>
      <c r="N21" s="66">
        <f>SUM(G21:M21)</f>
        <v>3561.629504373178</v>
      </c>
      <c r="O21" s="66">
        <f t="shared" si="3"/>
        <v>40.018309037900877</v>
      </c>
      <c r="P21" s="65">
        <f t="shared" si="4"/>
        <v>3719.4475218658895</v>
      </c>
      <c r="Q21" s="115">
        <v>89</v>
      </c>
      <c r="R21" s="111">
        <f t="shared" si="5"/>
        <v>41.791545189504376</v>
      </c>
    </row>
    <row r="22" spans="1:20" s="113" customFormat="1" ht="37.5" thickBot="1" x14ac:dyDescent="0.3">
      <c r="A22" s="116" t="s">
        <v>69</v>
      </c>
      <c r="B22" s="67">
        <v>0</v>
      </c>
      <c r="C22" s="63">
        <f>608.22/343*254</f>
        <v>450.40198250728866</v>
      </c>
      <c r="D22" s="67">
        <v>0</v>
      </c>
      <c r="E22" s="69">
        <f t="shared" ref="E22" si="6">B22+C22+D22</f>
        <v>450.40198250728866</v>
      </c>
      <c r="F22" s="65">
        <f t="shared" si="1"/>
        <v>1.7732361516034987</v>
      </c>
      <c r="G22" s="66">
        <f>(9555.69+275.4)/343*254</f>
        <v>7280.1657725947525</v>
      </c>
      <c r="H22" s="67">
        <f>1820/343*254</f>
        <v>1347.7551020408162</v>
      </c>
      <c r="I22" s="78">
        <f>357.4/343*254</f>
        <v>264.66355685131197</v>
      </c>
      <c r="J22" s="66">
        <f>949.51/343*254</f>
        <v>703.13568513119526</v>
      </c>
      <c r="K22" s="67">
        <f>125/343*254</f>
        <v>92.565597667638471</v>
      </c>
      <c r="L22" s="67">
        <v>0</v>
      </c>
      <c r="M22" s="66">
        <f>643.34/343*254</f>
        <v>476.40921282798837</v>
      </c>
      <c r="N22" s="67">
        <f>SUM(G22:M22)</f>
        <v>10164.694927113704</v>
      </c>
      <c r="O22" s="66">
        <f t="shared" si="3"/>
        <v>40.018483965014582</v>
      </c>
      <c r="P22" s="68">
        <f>E22+N22</f>
        <v>10615.096909620992</v>
      </c>
      <c r="Q22" s="117">
        <v>254</v>
      </c>
      <c r="R22" s="111">
        <f t="shared" si="5"/>
        <v>41.79172011661808</v>
      </c>
    </row>
    <row r="23" spans="1:20" ht="15.75" thickBot="1" x14ac:dyDescent="0.3">
      <c r="A23" s="10" t="s">
        <v>9</v>
      </c>
      <c r="B23" s="26">
        <f>SUM(B18:B22)</f>
        <v>18782.949999999997</v>
      </c>
      <c r="C23" s="26">
        <f>SUM(C18:C22)</f>
        <v>941.23500000000013</v>
      </c>
      <c r="D23" s="28">
        <f>SUM(D18:D22)</f>
        <v>0</v>
      </c>
      <c r="E23" s="26">
        <f>SUM(E18:E22)</f>
        <v>19724.185000000001</v>
      </c>
      <c r="F23" s="27">
        <f>E23/Q23</f>
        <v>57.50491253644315</v>
      </c>
      <c r="G23" s="28">
        <f>SUM(G18:G22)</f>
        <v>16265.64</v>
      </c>
      <c r="H23" s="28">
        <f>SUM(H18:H22)</f>
        <v>1819.9999999999998</v>
      </c>
      <c r="I23" s="28">
        <f t="shared" ref="I23" si="7">SUM(I21:I22)</f>
        <v>357.38443148688049</v>
      </c>
      <c r="J23" s="28">
        <f>SUM(J18:J22)</f>
        <v>949.50999999999988</v>
      </c>
      <c r="K23" s="28">
        <f>SUM(K18:K22)</f>
        <v>124.99999999999999</v>
      </c>
      <c r="L23" s="28">
        <f>SUM(L21:L22)</f>
        <v>0</v>
      </c>
      <c r="M23" s="28">
        <f>SUM(M18:M22)</f>
        <v>643.34</v>
      </c>
      <c r="N23" s="28">
        <f>SUM(N18:N22)</f>
        <v>20160.874431486882</v>
      </c>
      <c r="O23" s="62">
        <f>N23/Q23</f>
        <v>58.778059567017145</v>
      </c>
      <c r="P23" s="38">
        <f>SUM(P18:P22)</f>
        <v>39885.059431486879</v>
      </c>
      <c r="Q23" s="41">
        <f>343</f>
        <v>343</v>
      </c>
      <c r="R23" s="56">
        <f>P23/Q23</f>
        <v>116.2829721034603</v>
      </c>
    </row>
    <row r="24" spans="1:20" ht="15.75" x14ac:dyDescent="0.25">
      <c r="A24" s="12"/>
    </row>
    <row r="25" spans="1:20" ht="15.75" x14ac:dyDescent="0.25">
      <c r="A25" s="12" t="s">
        <v>13</v>
      </c>
    </row>
    <row r="26" spans="1:20" ht="15.75" x14ac:dyDescent="0.25">
      <c r="A26" s="12" t="s">
        <v>14</v>
      </c>
    </row>
    <row r="27" spans="1:20" ht="15.75" x14ac:dyDescent="0.25">
      <c r="A27" s="12" t="s">
        <v>15</v>
      </c>
    </row>
    <row r="28" spans="1:20" ht="15.75" x14ac:dyDescent="0.25">
      <c r="A28" s="12" t="s">
        <v>46</v>
      </c>
    </row>
    <row r="29" spans="1:20" ht="15.75" x14ac:dyDescent="0.25">
      <c r="A29" s="12" t="s">
        <v>48</v>
      </c>
    </row>
    <row r="30" spans="1:20" ht="15.75" x14ac:dyDescent="0.25">
      <c r="A30" s="12"/>
    </row>
    <row r="31" spans="1:20" x14ac:dyDescent="0.25">
      <c r="F31" t="s">
        <v>32</v>
      </c>
    </row>
  </sheetData>
  <mergeCells count="23">
    <mergeCell ref="A9:R9"/>
    <mergeCell ref="K1:R1"/>
    <mergeCell ref="K2:R2"/>
    <mergeCell ref="K3:R3"/>
    <mergeCell ref="K4:R4"/>
    <mergeCell ref="A7:R7"/>
    <mergeCell ref="A12:A14"/>
    <mergeCell ref="B12:F12"/>
    <mergeCell ref="K13:K14"/>
    <mergeCell ref="G12:O12"/>
    <mergeCell ref="L13:L14"/>
    <mergeCell ref="M13:M14"/>
    <mergeCell ref="N13:O14"/>
    <mergeCell ref="R12:R14"/>
    <mergeCell ref="B13:B14"/>
    <mergeCell ref="C13:C14"/>
    <mergeCell ref="D13:D14"/>
    <mergeCell ref="E13:F14"/>
    <mergeCell ref="G13:G14"/>
    <mergeCell ref="H13:H14"/>
    <mergeCell ref="I13:I14"/>
    <mergeCell ref="J13:J14"/>
    <mergeCell ref="Q12:Q14"/>
  </mergeCells>
  <pageMargins left="0.78740157480314965" right="0.78740157480314965" top="0.98425196850393704" bottom="0.59055118110236227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="93" zoomScaleNormal="93" workbookViewId="0">
      <selection activeCell="K4" sqref="K4:R4"/>
    </sheetView>
  </sheetViews>
  <sheetFormatPr defaultRowHeight="15" x14ac:dyDescent="0.25"/>
  <cols>
    <col min="1" max="1" width="36.7109375" customWidth="1"/>
    <col min="2" max="2" width="19.28515625" customWidth="1"/>
    <col min="5" max="5" width="11.5703125" customWidth="1"/>
    <col min="6" max="7" width="10.28515625" bestFit="1" customWidth="1"/>
    <col min="13" max="13" width="10.28515625" bestFit="1" customWidth="1"/>
    <col min="14" max="14" width="10.85546875" customWidth="1"/>
    <col min="15" max="15" width="11" customWidth="1"/>
    <col min="16" max="16" width="11.85546875" customWidth="1"/>
  </cols>
  <sheetData>
    <row r="1" spans="1:18" ht="15.75" x14ac:dyDescent="0.25">
      <c r="K1" s="151" t="s">
        <v>19</v>
      </c>
      <c r="L1" s="151"/>
      <c r="M1" s="151"/>
      <c r="N1" s="151"/>
      <c r="O1" s="151"/>
      <c r="P1" s="151"/>
      <c r="Q1" s="151"/>
      <c r="R1" s="151"/>
    </row>
    <row r="2" spans="1:18" ht="15.75" x14ac:dyDescent="0.25">
      <c r="K2" s="151" t="s">
        <v>11</v>
      </c>
      <c r="L2" s="151"/>
      <c r="M2" s="151"/>
      <c r="N2" s="151"/>
      <c r="O2" s="151"/>
      <c r="P2" s="151"/>
      <c r="Q2" s="151"/>
      <c r="R2" s="151"/>
    </row>
    <row r="3" spans="1:18" x14ac:dyDescent="0.25">
      <c r="K3" s="121" t="s">
        <v>33</v>
      </c>
      <c r="L3" s="121"/>
      <c r="M3" s="121"/>
      <c r="N3" s="121"/>
      <c r="O3" s="121"/>
      <c r="P3" s="121"/>
      <c r="Q3" s="121"/>
      <c r="R3" s="121"/>
    </row>
    <row r="4" spans="1:18" ht="13.5" customHeight="1" x14ac:dyDescent="0.25">
      <c r="K4" s="152"/>
      <c r="L4" s="151"/>
      <c r="M4" s="151"/>
      <c r="N4" s="151"/>
      <c r="O4" s="151"/>
      <c r="P4" s="151"/>
      <c r="Q4" s="151"/>
      <c r="R4" s="151"/>
    </row>
    <row r="7" spans="1:18" ht="15.75" x14ac:dyDescent="0.25">
      <c r="A7" s="153" t="s">
        <v>12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18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33.75" customHeight="1" x14ac:dyDescent="0.25">
      <c r="A9" s="120" t="s">
        <v>20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</row>
    <row r="11" spans="1:18" ht="15.75" thickBot="1" x14ac:dyDescent="0.3"/>
    <row r="12" spans="1:18" ht="71.25" customHeight="1" thickBot="1" x14ac:dyDescent="0.3">
      <c r="A12" s="148" t="s">
        <v>0</v>
      </c>
      <c r="B12" s="133" t="s">
        <v>38</v>
      </c>
      <c r="C12" s="134"/>
      <c r="D12" s="134"/>
      <c r="E12" s="134"/>
      <c r="F12" s="134"/>
      <c r="G12" s="139" t="s">
        <v>39</v>
      </c>
      <c r="H12" s="140"/>
      <c r="I12" s="140"/>
      <c r="J12" s="140"/>
      <c r="K12" s="140"/>
      <c r="L12" s="140"/>
      <c r="M12" s="140"/>
      <c r="N12" s="140"/>
      <c r="O12" s="141"/>
      <c r="P12" s="23" t="s">
        <v>1</v>
      </c>
      <c r="Q12" s="135" t="s">
        <v>2</v>
      </c>
      <c r="R12" s="123" t="s">
        <v>88</v>
      </c>
    </row>
    <row r="13" spans="1:18" ht="22.5" customHeight="1" x14ac:dyDescent="0.25">
      <c r="A13" s="149"/>
      <c r="B13" s="125" t="s">
        <v>3</v>
      </c>
      <c r="C13" s="125" t="s">
        <v>4</v>
      </c>
      <c r="D13" s="125" t="s">
        <v>5</v>
      </c>
      <c r="E13" s="127" t="s">
        <v>6</v>
      </c>
      <c r="F13" s="128"/>
      <c r="G13" s="129" t="s">
        <v>40</v>
      </c>
      <c r="H13" s="126" t="s">
        <v>37</v>
      </c>
      <c r="I13" s="126" t="s">
        <v>41</v>
      </c>
      <c r="J13" s="126" t="s">
        <v>42</v>
      </c>
      <c r="K13" s="129" t="s">
        <v>43</v>
      </c>
      <c r="L13" s="137" t="s">
        <v>44</v>
      </c>
      <c r="M13" s="142" t="s">
        <v>45</v>
      </c>
      <c r="N13" s="144" t="s">
        <v>7</v>
      </c>
      <c r="O13" s="145"/>
      <c r="P13" s="24" t="s">
        <v>47</v>
      </c>
      <c r="Q13" s="129"/>
      <c r="R13" s="124"/>
    </row>
    <row r="14" spans="1:18" ht="68.25" customHeight="1" thickBot="1" x14ac:dyDescent="0.3">
      <c r="A14" s="149"/>
      <c r="B14" s="126"/>
      <c r="C14" s="126"/>
      <c r="D14" s="126"/>
      <c r="E14" s="129"/>
      <c r="F14" s="130"/>
      <c r="G14" s="129"/>
      <c r="H14" s="126"/>
      <c r="I14" s="126"/>
      <c r="J14" s="126"/>
      <c r="K14" s="129"/>
      <c r="L14" s="138"/>
      <c r="M14" s="143"/>
      <c r="N14" s="146"/>
      <c r="O14" s="147"/>
      <c r="P14" s="18"/>
      <c r="Q14" s="136"/>
      <c r="R14" s="124"/>
    </row>
    <row r="15" spans="1:18" ht="40.5" customHeight="1" thickBot="1" x14ac:dyDescent="0.3">
      <c r="A15" s="1"/>
      <c r="B15" s="2" t="s">
        <v>10</v>
      </c>
      <c r="C15" s="2" t="s">
        <v>10</v>
      </c>
      <c r="D15" s="2" t="s">
        <v>10</v>
      </c>
      <c r="E15" s="2" t="s">
        <v>10</v>
      </c>
      <c r="F15" s="3" t="s">
        <v>85</v>
      </c>
      <c r="G15" s="2" t="s">
        <v>10</v>
      </c>
      <c r="H15" s="2" t="s">
        <v>10</v>
      </c>
      <c r="I15" s="2" t="s">
        <v>10</v>
      </c>
      <c r="J15" s="2" t="s">
        <v>10</v>
      </c>
      <c r="K15" s="2" t="s">
        <v>10</v>
      </c>
      <c r="L15" s="2" t="s">
        <v>10</v>
      </c>
      <c r="M15" s="2" t="s">
        <v>10</v>
      </c>
      <c r="N15" s="2" t="s">
        <v>10</v>
      </c>
      <c r="O15" s="3" t="s">
        <v>86</v>
      </c>
      <c r="P15" s="17" t="s">
        <v>10</v>
      </c>
      <c r="Q15" s="19" t="s">
        <v>70</v>
      </c>
      <c r="R15" s="3" t="s">
        <v>61</v>
      </c>
    </row>
    <row r="16" spans="1:18" ht="19.5" customHeight="1" thickBot="1" x14ac:dyDescent="0.3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4">
        <v>16</v>
      </c>
      <c r="Q16" s="20">
        <v>17</v>
      </c>
      <c r="R16" s="42">
        <v>18</v>
      </c>
    </row>
    <row r="17" spans="1:20" x14ac:dyDescent="0.25">
      <c r="A17" s="5" t="s">
        <v>8</v>
      </c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1"/>
      <c r="R17" s="8"/>
    </row>
    <row r="18" spans="1:20" ht="48" x14ac:dyDescent="0.25">
      <c r="A18" s="59" t="s">
        <v>65</v>
      </c>
      <c r="B18" s="63">
        <f>(18545.26+576.79)/380*58</f>
        <v>2918.628684210526</v>
      </c>
      <c r="C18" s="63">
        <f>368.987/380*58</f>
        <v>56.319068421052634</v>
      </c>
      <c r="D18" s="64">
        <v>0</v>
      </c>
      <c r="E18" s="65">
        <f>SUM(B18:D18)</f>
        <v>2974.9477526315786</v>
      </c>
      <c r="F18" s="65">
        <f>E18/Q18</f>
        <v>51.292202631578945</v>
      </c>
      <c r="G18" s="65">
        <f>(4716.26+301.34+10+0.52)/380*58</f>
        <v>767.44989473684223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34">
        <f>SUM(G18:M18)</f>
        <v>767.44989473684223</v>
      </c>
      <c r="O18" s="34">
        <f>N18/Q18</f>
        <v>13.231894736842108</v>
      </c>
      <c r="P18" s="34">
        <f>E18+N18</f>
        <v>3742.3976473684206</v>
      </c>
      <c r="Q18" s="45">
        <v>58</v>
      </c>
      <c r="R18" s="57">
        <f>P18/Q18</f>
        <v>64.524097368421039</v>
      </c>
      <c r="S18" s="13"/>
      <c r="T18" s="13"/>
    </row>
    <row r="19" spans="1:20" ht="48" x14ac:dyDescent="0.25">
      <c r="A19" s="59" t="s">
        <v>66</v>
      </c>
      <c r="B19" s="63">
        <f>(18545.26+576.79)/380*290</f>
        <v>14593.143421052629</v>
      </c>
      <c r="C19" s="63">
        <f>368.987/380*290</f>
        <v>281.59534210526317</v>
      </c>
      <c r="D19" s="64">
        <v>0</v>
      </c>
      <c r="E19" s="65">
        <f t="shared" ref="E19:E21" si="0">SUM(B19:D19)</f>
        <v>14874.738763157893</v>
      </c>
      <c r="F19" s="65">
        <f t="shared" ref="F19:F22" si="1">E19/Q19</f>
        <v>51.292202631578945</v>
      </c>
      <c r="G19" s="65">
        <f>(4716.26+301.34+10+0.52)/380*290</f>
        <v>3837.2494736842114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34">
        <f t="shared" ref="N19:N21" si="2">SUM(G19:M19)</f>
        <v>3837.2494736842114</v>
      </c>
      <c r="O19" s="34">
        <f t="shared" ref="O19:O22" si="3">N19/Q19</f>
        <v>13.231894736842108</v>
      </c>
      <c r="P19" s="34">
        <f t="shared" ref="P19:P21" si="4">E19+N19</f>
        <v>18711.988236842106</v>
      </c>
      <c r="Q19" s="45">
        <v>290</v>
      </c>
      <c r="R19" s="57">
        <f t="shared" ref="R19:R22" si="5">P19/Q19</f>
        <v>64.524097368421053</v>
      </c>
      <c r="S19" s="13"/>
      <c r="T19" s="13"/>
    </row>
    <row r="20" spans="1:20" ht="60" x14ac:dyDescent="0.25">
      <c r="A20" s="59" t="s">
        <v>68</v>
      </c>
      <c r="B20" s="63">
        <f>(18545.26+576.79)/380*32</f>
        <v>1610.277894736842</v>
      </c>
      <c r="C20" s="63">
        <f>355.3/380*32</f>
        <v>29.92</v>
      </c>
      <c r="D20" s="64">
        <v>0</v>
      </c>
      <c r="E20" s="65">
        <f t="shared" si="0"/>
        <v>1640.197894736842</v>
      </c>
      <c r="F20" s="65">
        <f t="shared" si="1"/>
        <v>51.256184210526314</v>
      </c>
      <c r="G20" s="65">
        <f>(4716.26+301.34+10+0.52)/380*32</f>
        <v>423.42063157894745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34">
        <f t="shared" si="2"/>
        <v>423.42063157894745</v>
      </c>
      <c r="O20" s="34">
        <f t="shared" si="3"/>
        <v>13.231894736842108</v>
      </c>
      <c r="P20" s="34">
        <f t="shared" si="4"/>
        <v>2063.6185263157895</v>
      </c>
      <c r="Q20" s="45">
        <v>32</v>
      </c>
      <c r="R20" s="57">
        <f t="shared" si="5"/>
        <v>64.488078947368422</v>
      </c>
    </row>
    <row r="21" spans="1:20" ht="36.75" x14ac:dyDescent="0.25">
      <c r="A21" s="60" t="s">
        <v>67</v>
      </c>
      <c r="B21" s="64">
        <v>0</v>
      </c>
      <c r="C21" s="63">
        <f>(479.73+35.56)/380*58</f>
        <v>78.649526315789473</v>
      </c>
      <c r="D21" s="63">
        <f>602.1/380*58</f>
        <v>91.899473684210534</v>
      </c>
      <c r="E21" s="65">
        <f t="shared" si="0"/>
        <v>170.54900000000001</v>
      </c>
      <c r="F21" s="65">
        <f t="shared" si="1"/>
        <v>2.9405000000000001</v>
      </c>
      <c r="G21" s="65">
        <f>12033.98/380*58</f>
        <v>1836.7653684210525</v>
      </c>
      <c r="H21" s="65">
        <f>2014.71/380*58</f>
        <v>307.50836842105264</v>
      </c>
      <c r="I21" s="78">
        <f>524.15/380*58</f>
        <v>80.001842105263151</v>
      </c>
      <c r="J21" s="65">
        <f>56.71/380*58</f>
        <v>8.655736842105263</v>
      </c>
      <c r="K21" s="65">
        <f>222.15/380*58</f>
        <v>33.907105263157895</v>
      </c>
      <c r="L21" s="78">
        <v>0</v>
      </c>
      <c r="M21" s="65">
        <f>(2792.71+15.4+5)/380*58</f>
        <v>429.36942105263159</v>
      </c>
      <c r="N21" s="34">
        <f t="shared" si="2"/>
        <v>2696.2078421052629</v>
      </c>
      <c r="O21" s="34">
        <f t="shared" si="3"/>
        <v>46.486342105263155</v>
      </c>
      <c r="P21" s="34">
        <f t="shared" si="4"/>
        <v>2866.7568421052629</v>
      </c>
      <c r="Q21" s="46">
        <v>58</v>
      </c>
      <c r="R21" s="57">
        <f t="shared" si="5"/>
        <v>49.426842105263155</v>
      </c>
    </row>
    <row r="22" spans="1:20" ht="37.5" thickBot="1" x14ac:dyDescent="0.3">
      <c r="A22" s="61" t="s">
        <v>69</v>
      </c>
      <c r="B22" s="67">
        <v>0</v>
      </c>
      <c r="C22" s="68">
        <f>(479.73+35.56)/380*322</f>
        <v>436.64047368421052</v>
      </c>
      <c r="D22" s="68">
        <f>602.1/380*322</f>
        <v>510.20052631578955</v>
      </c>
      <c r="E22" s="69">
        <f t="shared" ref="E22" si="6">B22+C22+D22</f>
        <v>946.84100000000012</v>
      </c>
      <c r="F22" s="65">
        <f t="shared" si="1"/>
        <v>2.9405000000000006</v>
      </c>
      <c r="G22" s="68">
        <f>12033.98/380*322</f>
        <v>10197.214631578947</v>
      </c>
      <c r="H22" s="68">
        <f>2014.71/380*322</f>
        <v>1707.2016315789474</v>
      </c>
      <c r="I22" s="78">
        <f>524.15/380*322</f>
        <v>444.14815789473681</v>
      </c>
      <c r="J22" s="68">
        <f>56.71/380*322</f>
        <v>48.054263157894738</v>
      </c>
      <c r="K22" s="68">
        <f>222.15/380*322</f>
        <v>188.24289473684212</v>
      </c>
      <c r="L22" s="67">
        <v>0</v>
      </c>
      <c r="M22" s="65">
        <f>(2792.7+15.4+5)/380*322</f>
        <v>2383.7321052631578</v>
      </c>
      <c r="N22" s="32">
        <f>SUM(G22:M22)</f>
        <v>14968.593684210527</v>
      </c>
      <c r="O22" s="34">
        <f t="shared" si="3"/>
        <v>46.486315789473686</v>
      </c>
      <c r="P22" s="32">
        <f>E22+N22</f>
        <v>15915.434684210528</v>
      </c>
      <c r="Q22" s="47">
        <v>322</v>
      </c>
      <c r="R22" s="57">
        <f t="shared" si="5"/>
        <v>49.426815789473686</v>
      </c>
    </row>
    <row r="23" spans="1:20" ht="15.75" thickBot="1" x14ac:dyDescent="0.3">
      <c r="A23" s="49" t="s">
        <v>9</v>
      </c>
      <c r="B23" s="48">
        <f>SUM(B18:B22)</f>
        <v>19122.05</v>
      </c>
      <c r="C23" s="26">
        <f>SUM(C18:C22)</f>
        <v>883.12441052631584</v>
      </c>
      <c r="D23" s="26">
        <f>SUM(D18:D22)</f>
        <v>602.10000000000014</v>
      </c>
      <c r="E23" s="26">
        <f>SUM(E18:E22)</f>
        <v>20607.274410526312</v>
      </c>
      <c r="F23" s="27">
        <f>E23/Q23</f>
        <v>54.229669501385033</v>
      </c>
      <c r="G23" s="26">
        <f>SUM(G18:G22)</f>
        <v>17062.099999999999</v>
      </c>
      <c r="H23" s="26">
        <f>SUM(H18:H22)</f>
        <v>2014.71</v>
      </c>
      <c r="I23" s="28">
        <f t="shared" ref="I23" si="7">SUM(I21:I22)</f>
        <v>524.15</v>
      </c>
      <c r="J23" s="28">
        <f>SUM(J18:J22)</f>
        <v>56.71</v>
      </c>
      <c r="K23" s="26">
        <f>SUM(K18:K22)</f>
        <v>222.15</v>
      </c>
      <c r="L23" s="28">
        <f>SUM(L21:L22)</f>
        <v>0</v>
      </c>
      <c r="M23" s="26">
        <f>SUM(M18:M22)</f>
        <v>2813.1015263157892</v>
      </c>
      <c r="N23" s="26">
        <f>SUM(N18:N22)</f>
        <v>22692.921526315789</v>
      </c>
      <c r="O23" s="27">
        <f>N23/Q23</f>
        <v>59.718214542936288</v>
      </c>
      <c r="P23" s="38">
        <f>SUM(P18:P22)</f>
        <v>43300.195936842108</v>
      </c>
      <c r="Q23" s="41">
        <v>380</v>
      </c>
      <c r="R23" s="56">
        <f>P23/Q23</f>
        <v>113.94788404432134</v>
      </c>
    </row>
    <row r="24" spans="1:20" ht="15.75" x14ac:dyDescent="0.25">
      <c r="A24" s="12"/>
    </row>
    <row r="25" spans="1:20" ht="15.75" x14ac:dyDescent="0.25">
      <c r="A25" s="12" t="s">
        <v>13</v>
      </c>
    </row>
    <row r="26" spans="1:20" ht="15.75" x14ac:dyDescent="0.25">
      <c r="A26" s="12" t="s">
        <v>14</v>
      </c>
    </row>
    <row r="27" spans="1:20" ht="15.75" x14ac:dyDescent="0.25">
      <c r="A27" s="12" t="s">
        <v>15</v>
      </c>
    </row>
    <row r="28" spans="1:20" ht="15.75" x14ac:dyDescent="0.25">
      <c r="A28" s="12" t="s">
        <v>46</v>
      </c>
    </row>
    <row r="29" spans="1:20" ht="15.75" x14ac:dyDescent="0.25">
      <c r="A29" s="12" t="s">
        <v>48</v>
      </c>
    </row>
    <row r="30" spans="1:20" ht="15.75" x14ac:dyDescent="0.25">
      <c r="A30" s="12"/>
    </row>
    <row r="31" spans="1:20" x14ac:dyDescent="0.25">
      <c r="F31" t="s">
        <v>32</v>
      </c>
    </row>
  </sheetData>
  <mergeCells count="23">
    <mergeCell ref="A9:R9"/>
    <mergeCell ref="K1:R1"/>
    <mergeCell ref="K2:R2"/>
    <mergeCell ref="K3:R3"/>
    <mergeCell ref="K4:R4"/>
    <mergeCell ref="A7:R7"/>
    <mergeCell ref="A12:A14"/>
    <mergeCell ref="B12:F12"/>
    <mergeCell ref="K13:K14"/>
    <mergeCell ref="G12:O12"/>
    <mergeCell ref="L13:L14"/>
    <mergeCell ref="M13:M14"/>
    <mergeCell ref="N13:O14"/>
    <mergeCell ref="R12:R14"/>
    <mergeCell ref="B13:B14"/>
    <mergeCell ref="C13:C14"/>
    <mergeCell ref="D13:D14"/>
    <mergeCell ref="E13:F14"/>
    <mergeCell ref="G13:G14"/>
    <mergeCell ref="H13:H14"/>
    <mergeCell ref="I13:I14"/>
    <mergeCell ref="J13:J14"/>
    <mergeCell ref="Q12:Q14"/>
  </mergeCells>
  <pageMargins left="0.78740157480314965" right="0.78740157480314965" top="0.98425196850393704" bottom="0.59055118110236227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B1" workbookViewId="0">
      <selection activeCell="M4" sqref="M4:R4"/>
    </sheetView>
  </sheetViews>
  <sheetFormatPr defaultRowHeight="15" x14ac:dyDescent="0.25"/>
  <cols>
    <col min="1" max="1" width="35.28515625" customWidth="1"/>
    <col min="2" max="4" width="10.140625" bestFit="1" customWidth="1"/>
    <col min="5" max="5" width="9.5703125" bestFit="1" customWidth="1"/>
    <col min="6" max="13" width="9.28515625" bestFit="1" customWidth="1"/>
    <col min="14" max="14" width="10.5703125" customWidth="1"/>
    <col min="15" max="15" width="9.28515625" bestFit="1" customWidth="1"/>
    <col min="16" max="16" width="10.7109375" customWidth="1"/>
    <col min="17" max="17" width="10.42578125" bestFit="1" customWidth="1"/>
    <col min="18" max="18" width="10.140625" bestFit="1" customWidth="1"/>
  </cols>
  <sheetData>
    <row r="1" spans="1:18" ht="15.75" x14ac:dyDescent="0.25">
      <c r="M1" s="151" t="s">
        <v>22</v>
      </c>
      <c r="N1" s="151"/>
      <c r="O1" s="151"/>
      <c r="P1" s="151"/>
      <c r="Q1" s="151"/>
      <c r="R1" s="151"/>
    </row>
    <row r="2" spans="1:18" ht="15.75" x14ac:dyDescent="0.25">
      <c r="M2" s="151" t="s">
        <v>11</v>
      </c>
      <c r="N2" s="151"/>
      <c r="O2" s="151"/>
      <c r="P2" s="151"/>
      <c r="Q2" s="151"/>
      <c r="R2" s="151"/>
    </row>
    <row r="3" spans="1:18" x14ac:dyDescent="0.25">
      <c r="M3" s="121" t="s">
        <v>33</v>
      </c>
      <c r="N3" s="121"/>
      <c r="O3" s="121"/>
      <c r="P3" s="121"/>
      <c r="Q3" s="121"/>
      <c r="R3" s="121"/>
    </row>
    <row r="4" spans="1:18" ht="17.25" customHeight="1" x14ac:dyDescent="0.25">
      <c r="M4" s="152"/>
      <c r="N4" s="151"/>
      <c r="O4" s="151"/>
      <c r="P4" s="151"/>
      <c r="Q4" s="151"/>
      <c r="R4" s="151"/>
    </row>
    <row r="7" spans="1:18" ht="15.75" x14ac:dyDescent="0.25">
      <c r="A7" s="153" t="s">
        <v>35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18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33.75" customHeight="1" x14ac:dyDescent="0.25">
      <c r="A9" s="120" t="s">
        <v>21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</row>
    <row r="11" spans="1:18" ht="15.75" thickBot="1" x14ac:dyDescent="0.3"/>
    <row r="12" spans="1:18" ht="68.25" customHeight="1" thickBot="1" x14ac:dyDescent="0.3">
      <c r="A12" s="148" t="s">
        <v>0</v>
      </c>
      <c r="B12" s="133" t="s">
        <v>38</v>
      </c>
      <c r="C12" s="134"/>
      <c r="D12" s="134"/>
      <c r="E12" s="134"/>
      <c r="F12" s="134"/>
      <c r="G12" s="139" t="s">
        <v>39</v>
      </c>
      <c r="H12" s="140"/>
      <c r="I12" s="140"/>
      <c r="J12" s="140"/>
      <c r="K12" s="140"/>
      <c r="L12" s="140"/>
      <c r="M12" s="140"/>
      <c r="N12" s="140"/>
      <c r="O12" s="141"/>
      <c r="P12" s="23" t="s">
        <v>1</v>
      </c>
      <c r="Q12" s="135" t="s">
        <v>2</v>
      </c>
      <c r="R12" s="123" t="s">
        <v>88</v>
      </c>
    </row>
    <row r="13" spans="1:18" ht="22.5" customHeight="1" x14ac:dyDescent="0.25">
      <c r="A13" s="149"/>
      <c r="B13" s="125" t="s">
        <v>3</v>
      </c>
      <c r="C13" s="125" t="s">
        <v>4</v>
      </c>
      <c r="D13" s="125" t="s">
        <v>5</v>
      </c>
      <c r="E13" s="127" t="s">
        <v>6</v>
      </c>
      <c r="F13" s="128"/>
      <c r="G13" s="129" t="s">
        <v>40</v>
      </c>
      <c r="H13" s="126" t="s">
        <v>37</v>
      </c>
      <c r="I13" s="126" t="s">
        <v>41</v>
      </c>
      <c r="J13" s="126" t="s">
        <v>42</v>
      </c>
      <c r="K13" s="129" t="s">
        <v>43</v>
      </c>
      <c r="L13" s="137" t="s">
        <v>44</v>
      </c>
      <c r="M13" s="142" t="s">
        <v>45</v>
      </c>
      <c r="N13" s="144" t="s">
        <v>7</v>
      </c>
      <c r="O13" s="145"/>
      <c r="P13" s="24" t="s">
        <v>47</v>
      </c>
      <c r="Q13" s="129"/>
      <c r="R13" s="124"/>
    </row>
    <row r="14" spans="1:18" ht="68.25" customHeight="1" thickBot="1" x14ac:dyDescent="0.3">
      <c r="A14" s="149"/>
      <c r="B14" s="126"/>
      <c r="C14" s="126"/>
      <c r="D14" s="126"/>
      <c r="E14" s="129"/>
      <c r="F14" s="130"/>
      <c r="G14" s="129"/>
      <c r="H14" s="126"/>
      <c r="I14" s="126"/>
      <c r="J14" s="126"/>
      <c r="K14" s="129"/>
      <c r="L14" s="138"/>
      <c r="M14" s="143"/>
      <c r="N14" s="146"/>
      <c r="O14" s="147"/>
      <c r="P14" s="18"/>
      <c r="Q14" s="136"/>
      <c r="R14" s="124"/>
    </row>
    <row r="15" spans="1:18" ht="39" customHeight="1" thickBot="1" x14ac:dyDescent="0.3">
      <c r="A15" s="1"/>
      <c r="B15" s="2" t="s">
        <v>10</v>
      </c>
      <c r="C15" s="2" t="s">
        <v>10</v>
      </c>
      <c r="D15" s="2" t="s">
        <v>10</v>
      </c>
      <c r="E15" s="2" t="s">
        <v>10</v>
      </c>
      <c r="F15" s="3" t="s">
        <v>81</v>
      </c>
      <c r="G15" s="2" t="s">
        <v>10</v>
      </c>
      <c r="H15" s="2" t="s">
        <v>10</v>
      </c>
      <c r="I15" s="2" t="s">
        <v>10</v>
      </c>
      <c r="J15" s="2" t="s">
        <v>10</v>
      </c>
      <c r="K15" s="2" t="s">
        <v>10</v>
      </c>
      <c r="L15" s="2" t="s">
        <v>10</v>
      </c>
      <c r="M15" s="2" t="s">
        <v>10</v>
      </c>
      <c r="N15" s="2" t="s">
        <v>10</v>
      </c>
      <c r="O15" s="3" t="s">
        <v>82</v>
      </c>
      <c r="P15" s="17" t="s">
        <v>10</v>
      </c>
      <c r="Q15" s="19" t="s">
        <v>60</v>
      </c>
      <c r="R15" s="3" t="s">
        <v>61</v>
      </c>
    </row>
    <row r="16" spans="1:18" ht="19.5" customHeight="1" thickBot="1" x14ac:dyDescent="0.3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4">
        <v>16</v>
      </c>
      <c r="Q16" s="20">
        <v>17</v>
      </c>
      <c r="R16" s="42">
        <v>18</v>
      </c>
    </row>
    <row r="17" spans="1:19" x14ac:dyDescent="0.25">
      <c r="A17" s="5" t="s">
        <v>8</v>
      </c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1"/>
      <c r="R17" s="8"/>
    </row>
    <row r="18" spans="1:19" ht="56.25" x14ac:dyDescent="0.25">
      <c r="A18" s="9" t="s">
        <v>52</v>
      </c>
      <c r="B18" s="31">
        <f>4380.71/12254.5*1678</f>
        <v>599.84751560651193</v>
      </c>
      <c r="C18" s="31">
        <f>23.48/12254.5*1678</f>
        <v>3.2150997592721042</v>
      </c>
      <c r="D18" s="31">
        <f>98.44/12254.5*1678</f>
        <v>13.479319433677425</v>
      </c>
      <c r="E18" s="34">
        <f>SUM(B18:D18)</f>
        <v>616.5419347994615</v>
      </c>
      <c r="F18" s="34">
        <f>E18/Q18</f>
        <v>0.36742665959443477</v>
      </c>
      <c r="G18" s="34">
        <f>2389.96/12254.5*1678</f>
        <v>327.25552898935086</v>
      </c>
      <c r="H18" s="34">
        <f>95.35/12254.4*1678</f>
        <v>13.056314466640554</v>
      </c>
      <c r="I18" s="36">
        <v>0</v>
      </c>
      <c r="J18" s="34">
        <f>9.53/12254.5*1678</f>
        <v>1.3049361459055855</v>
      </c>
      <c r="K18" s="34">
        <f>34.57/12254.5*1678</f>
        <v>4.7336455995756666</v>
      </c>
      <c r="L18" s="36">
        <v>0</v>
      </c>
      <c r="M18" s="34">
        <f>529.3/12254.5*1678</f>
        <v>72.476673874903085</v>
      </c>
      <c r="N18" s="34">
        <f>SUM(G18:M18)</f>
        <v>418.82709907637576</v>
      </c>
      <c r="O18" s="34">
        <f t="shared" ref="O18:O23" si="0">N18/Q18</f>
        <v>0.24959898633872216</v>
      </c>
      <c r="P18" s="34">
        <f>E18+N18</f>
        <v>1035.3690338758372</v>
      </c>
      <c r="Q18" s="45">
        <v>1678</v>
      </c>
      <c r="R18" s="57">
        <f>P18/Q18</f>
        <v>0.6170256459331569</v>
      </c>
    </row>
    <row r="19" spans="1:19" ht="56.25" x14ac:dyDescent="0.25">
      <c r="A19" s="9" t="s">
        <v>53</v>
      </c>
      <c r="B19" s="31">
        <f>4380.71/12254.5*1249</f>
        <v>446.48959892284466</v>
      </c>
      <c r="C19" s="31">
        <f>23.48/12254.5*1249</f>
        <v>2.3931225264188667</v>
      </c>
      <c r="D19" s="31">
        <f>98.44/12254.5*1249</f>
        <v>10.033176384185403</v>
      </c>
      <c r="E19" s="34">
        <f t="shared" ref="E19:E21" si="1">SUM(B19:D19)</f>
        <v>458.91589783344898</v>
      </c>
      <c r="F19" s="34">
        <f t="shared" ref="F19:F22" si="2">E19/Q19</f>
        <v>0.36742665959443471</v>
      </c>
      <c r="G19" s="34">
        <f>2389.96/12254.5*1249</f>
        <v>243.58888897955853</v>
      </c>
      <c r="H19" s="34">
        <f>95.35/12254.4*1249</f>
        <v>9.7183175022848935</v>
      </c>
      <c r="I19" s="36">
        <v>0</v>
      </c>
      <c r="J19" s="34">
        <f>9.53/12254.5*1249</f>
        <v>0.97131421110612415</v>
      </c>
      <c r="K19" s="34">
        <f>34.57/12254.5*1249</f>
        <v>3.5234346566567387</v>
      </c>
      <c r="L19" s="36">
        <v>0</v>
      </c>
      <c r="M19" s="34">
        <f>529.3/12254.5*1249</f>
        <v>53.947178587457664</v>
      </c>
      <c r="N19" s="34">
        <f t="shared" ref="N19:N21" si="3">SUM(G19:M19)</f>
        <v>311.7491339370639</v>
      </c>
      <c r="O19" s="34">
        <f t="shared" si="0"/>
        <v>0.2495989863387221</v>
      </c>
      <c r="P19" s="34">
        <f t="shared" ref="P19:P21" si="4">E19+N19</f>
        <v>770.66503177051288</v>
      </c>
      <c r="Q19" s="45">
        <v>1249</v>
      </c>
      <c r="R19" s="57">
        <f t="shared" ref="R19:R22" si="5">P19/Q19</f>
        <v>0.61702564593315679</v>
      </c>
    </row>
    <row r="20" spans="1:19" ht="56.25" x14ac:dyDescent="0.25">
      <c r="A20" s="9" t="s">
        <v>54</v>
      </c>
      <c r="B20" s="31">
        <f>4380.71/12254.5*4606.5</f>
        <v>1646.7208466277696</v>
      </c>
      <c r="C20" s="31">
        <f>23.48/12254.5*4606.5</f>
        <v>8.8261960912317932</v>
      </c>
      <c r="D20" s="31">
        <f>98.44/12254.5*4606.5</f>
        <v>37.00386470276225</v>
      </c>
      <c r="E20" s="34">
        <f t="shared" si="1"/>
        <v>1692.5509074217637</v>
      </c>
      <c r="F20" s="34">
        <f t="shared" si="2"/>
        <v>0.36742665959443477</v>
      </c>
      <c r="G20" s="34">
        <f>2389.96/12254.5*4606.5</f>
        <v>898.39248765759521</v>
      </c>
      <c r="H20" s="34">
        <f>95.35/12254.4*4606.5</f>
        <v>35.842617753623188</v>
      </c>
      <c r="I20" s="36">
        <v>0</v>
      </c>
      <c r="J20" s="34">
        <f>9.53/12254.5*4606.5</f>
        <v>3.5823530131788317</v>
      </c>
      <c r="K20" s="34">
        <f>34.57/12254.5*4606.5</f>
        <v>12.994957362601495</v>
      </c>
      <c r="L20" s="36">
        <v>0</v>
      </c>
      <c r="M20" s="34">
        <f>529.3/12254.5*4606.5</f>
        <v>198.96531478232484</v>
      </c>
      <c r="N20" s="34">
        <f t="shared" si="3"/>
        <v>1149.7777305693235</v>
      </c>
      <c r="O20" s="34">
        <f t="shared" si="0"/>
        <v>0.24959898633872213</v>
      </c>
      <c r="P20" s="34">
        <f t="shared" si="4"/>
        <v>2842.3286379910869</v>
      </c>
      <c r="Q20" s="45">
        <v>4606.5</v>
      </c>
      <c r="R20" s="57">
        <f t="shared" si="5"/>
        <v>0.61702564593315679</v>
      </c>
    </row>
    <row r="21" spans="1:19" ht="56.25" x14ac:dyDescent="0.25">
      <c r="A21" s="9" t="s">
        <v>55</v>
      </c>
      <c r="B21" s="31">
        <f>4380.71/12254.5*4721</f>
        <v>1687.6520388428742</v>
      </c>
      <c r="C21" s="31">
        <f>23.48/12254.5*4721</f>
        <v>9.0455816230772363</v>
      </c>
      <c r="D21" s="31">
        <f>98.44/12254.5*4721</f>
        <v>37.923639479374927</v>
      </c>
      <c r="E21" s="34">
        <f t="shared" si="1"/>
        <v>1734.6212599453263</v>
      </c>
      <c r="F21" s="34">
        <f t="shared" si="2"/>
        <v>0.36742665959443471</v>
      </c>
      <c r="G21" s="34">
        <f>2389.96/12254.5*4721</f>
        <v>920.72309437349543</v>
      </c>
      <c r="H21" s="34">
        <f>95.35/12254.4*4721</f>
        <v>36.733528365321845</v>
      </c>
      <c r="I21" s="25">
        <v>0</v>
      </c>
      <c r="J21" s="34">
        <f>9.53/12254.5*4721</f>
        <v>3.6713966298094571</v>
      </c>
      <c r="K21" s="34">
        <f>34.57/12254.5*4721</f>
        <v>13.317962381166103</v>
      </c>
      <c r="L21" s="25">
        <v>0</v>
      </c>
      <c r="M21" s="34">
        <f>529.3/12254.5*4721</f>
        <v>203.91083275531435</v>
      </c>
      <c r="N21" s="34">
        <f t="shared" si="3"/>
        <v>1178.3568145051072</v>
      </c>
      <c r="O21" s="34">
        <f t="shared" si="0"/>
        <v>0.24959898633872213</v>
      </c>
      <c r="P21" s="34">
        <f t="shared" si="4"/>
        <v>2912.9780744504333</v>
      </c>
      <c r="Q21" s="46">
        <v>4721</v>
      </c>
      <c r="R21" s="57">
        <f t="shared" si="5"/>
        <v>0.61702564593315679</v>
      </c>
      <c r="S21" s="13"/>
    </row>
    <row r="22" spans="1:19" ht="23.25" thickBot="1" x14ac:dyDescent="0.3">
      <c r="A22" s="22" t="s">
        <v>56</v>
      </c>
      <c r="B22" s="32">
        <v>2402.61</v>
      </c>
      <c r="C22" s="32">
        <v>12.87</v>
      </c>
      <c r="D22" s="32">
        <v>53.99</v>
      </c>
      <c r="E22" s="33">
        <f t="shared" ref="E22" si="6">B22+C22+D22</f>
        <v>2469.4699999999998</v>
      </c>
      <c r="F22" s="34">
        <f t="shared" si="2"/>
        <v>0.3674259782770421</v>
      </c>
      <c r="G22" s="32">
        <v>1310.78</v>
      </c>
      <c r="H22" s="32">
        <v>52.29</v>
      </c>
      <c r="I22" s="37">
        <v>0</v>
      </c>
      <c r="J22" s="32">
        <v>5.22</v>
      </c>
      <c r="K22" s="32">
        <v>18.96</v>
      </c>
      <c r="L22" s="37">
        <v>0</v>
      </c>
      <c r="M22" s="32">
        <v>290.3</v>
      </c>
      <c r="N22" s="32">
        <f>SUM(G22:M22)</f>
        <v>1677.55</v>
      </c>
      <c r="O22" s="43">
        <f t="shared" si="0"/>
        <v>0.24959827406635918</v>
      </c>
      <c r="P22" s="32">
        <f>E22+N22</f>
        <v>4147.0199999999995</v>
      </c>
      <c r="Q22" s="47">
        <v>6721</v>
      </c>
      <c r="R22" s="57">
        <f t="shared" si="5"/>
        <v>0.61702425234340119</v>
      </c>
      <c r="S22" s="13"/>
    </row>
    <row r="23" spans="1:19" ht="15.75" thickBot="1" x14ac:dyDescent="0.3">
      <c r="A23" s="10" t="s">
        <v>9</v>
      </c>
      <c r="B23" s="26">
        <f>SUM(B18:B22)</f>
        <v>6783.32</v>
      </c>
      <c r="C23" s="26">
        <f>SUM(C18:C22)</f>
        <v>36.35</v>
      </c>
      <c r="D23" s="26">
        <f>SUM(D18:D22)</f>
        <v>152.43</v>
      </c>
      <c r="E23" s="26">
        <f>SUM(E18:E22)</f>
        <v>6972.1</v>
      </c>
      <c r="F23" s="27">
        <f>E23/Q23</f>
        <v>0.36742641827619826</v>
      </c>
      <c r="G23" s="26">
        <f>SUM(G18:G22)</f>
        <v>3700.74</v>
      </c>
      <c r="H23" s="26">
        <f>SUM(H18:H22)</f>
        <v>147.64077808787047</v>
      </c>
      <c r="I23" s="28">
        <f t="shared" ref="I23" si="7">SUM(I21:I22)</f>
        <v>0</v>
      </c>
      <c r="J23" s="28">
        <f>SUM(J18:J22)</f>
        <v>14.75</v>
      </c>
      <c r="K23" s="26">
        <f>SUM(K18:K22)</f>
        <v>53.530000000000008</v>
      </c>
      <c r="L23" s="28">
        <f>SUM(L21:L22)</f>
        <v>0</v>
      </c>
      <c r="M23" s="26">
        <f>SUM(M18:M22)</f>
        <v>819.59999999999991</v>
      </c>
      <c r="N23" s="26">
        <f>SUM(N18:N22)</f>
        <v>4736.2607780878707</v>
      </c>
      <c r="O23" s="27">
        <f t="shared" si="0"/>
        <v>0.24959873405643437</v>
      </c>
      <c r="P23" s="38">
        <f>SUM(P18:P22)</f>
        <v>11708.36077808787</v>
      </c>
      <c r="Q23" s="41">
        <f>SUM(Q18:Q22)</f>
        <v>18975.5</v>
      </c>
      <c r="R23" s="56">
        <f>P23/Q23</f>
        <v>0.61702515233263266</v>
      </c>
    </row>
    <row r="24" spans="1:19" ht="15.75" x14ac:dyDescent="0.25">
      <c r="A24" s="12"/>
    </row>
    <row r="25" spans="1:19" ht="15.75" x14ac:dyDescent="0.25">
      <c r="A25" s="12" t="s">
        <v>13</v>
      </c>
    </row>
    <row r="26" spans="1:19" ht="15.75" x14ac:dyDescent="0.25">
      <c r="A26" s="12" t="s">
        <v>14</v>
      </c>
    </row>
    <row r="27" spans="1:19" ht="15.75" x14ac:dyDescent="0.25">
      <c r="A27" s="12" t="s">
        <v>15</v>
      </c>
    </row>
    <row r="28" spans="1:19" ht="15.75" x14ac:dyDescent="0.25">
      <c r="A28" s="12" t="s">
        <v>46</v>
      </c>
    </row>
    <row r="29" spans="1:19" ht="15.75" x14ac:dyDescent="0.25">
      <c r="A29" s="12" t="s">
        <v>48</v>
      </c>
    </row>
    <row r="30" spans="1:19" ht="15.75" x14ac:dyDescent="0.25">
      <c r="A30" s="12"/>
    </row>
    <row r="31" spans="1:19" x14ac:dyDescent="0.25">
      <c r="F31" t="s">
        <v>32</v>
      </c>
    </row>
  </sheetData>
  <mergeCells count="23">
    <mergeCell ref="H13:H14"/>
    <mergeCell ref="I13:I14"/>
    <mergeCell ref="B13:B14"/>
    <mergeCell ref="C13:C14"/>
    <mergeCell ref="D13:D14"/>
    <mergeCell ref="E13:F14"/>
    <mergeCell ref="G13:G14"/>
    <mergeCell ref="J13:J14"/>
    <mergeCell ref="A9:R9"/>
    <mergeCell ref="M1:R1"/>
    <mergeCell ref="M2:R2"/>
    <mergeCell ref="M3:R3"/>
    <mergeCell ref="M4:R4"/>
    <mergeCell ref="A7:R7"/>
    <mergeCell ref="A12:A14"/>
    <mergeCell ref="B12:F12"/>
    <mergeCell ref="G12:O12"/>
    <mergeCell ref="Q12:Q14"/>
    <mergeCell ref="R12:R14"/>
    <mergeCell ref="K13:K14"/>
    <mergeCell ref="N13:O14"/>
    <mergeCell ref="L13:L14"/>
    <mergeCell ref="M13:M14"/>
  </mergeCells>
  <pageMargins left="0.78740157480314965" right="0.78740157480314965" top="0.98425196850393704" bottom="0.59055118110236227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opLeftCell="B1" workbookViewId="0">
      <selection activeCell="K4" sqref="K4:R4"/>
    </sheetView>
  </sheetViews>
  <sheetFormatPr defaultRowHeight="15" x14ac:dyDescent="0.25"/>
  <cols>
    <col min="1" max="1" width="32.28515625" customWidth="1"/>
    <col min="2" max="4" width="9.28515625" bestFit="1" customWidth="1"/>
    <col min="5" max="5" width="9.5703125" bestFit="1" customWidth="1"/>
    <col min="6" max="6" width="9.28515625" bestFit="1" customWidth="1"/>
    <col min="7" max="7" width="9.5703125" bestFit="1" customWidth="1"/>
    <col min="8" max="8" width="9.7109375" customWidth="1"/>
    <col min="9" max="9" width="10" customWidth="1"/>
    <col min="10" max="12" width="9.28515625" bestFit="1" customWidth="1"/>
    <col min="13" max="13" width="9.5703125" bestFit="1" customWidth="1"/>
    <col min="14" max="14" width="10.140625" customWidth="1"/>
    <col min="15" max="15" width="9.5703125" bestFit="1" customWidth="1"/>
    <col min="16" max="16" width="10.42578125" customWidth="1"/>
    <col min="17" max="17" width="10.42578125" bestFit="1" customWidth="1"/>
  </cols>
  <sheetData>
    <row r="1" spans="1:18" ht="15.75" x14ac:dyDescent="0.25">
      <c r="K1" s="151" t="s">
        <v>23</v>
      </c>
      <c r="L1" s="151"/>
      <c r="M1" s="151"/>
      <c r="N1" s="151"/>
      <c r="O1" s="151"/>
      <c r="P1" s="151"/>
      <c r="Q1" s="151"/>
      <c r="R1" s="151"/>
    </row>
    <row r="2" spans="1:18" ht="15.75" x14ac:dyDescent="0.25">
      <c r="K2" s="151" t="s">
        <v>11</v>
      </c>
      <c r="L2" s="151"/>
      <c r="M2" s="151"/>
      <c r="N2" s="151"/>
      <c r="O2" s="151"/>
      <c r="P2" s="151"/>
      <c r="Q2" s="151"/>
      <c r="R2" s="151"/>
    </row>
    <row r="3" spans="1:18" x14ac:dyDescent="0.25">
      <c r="K3" s="121" t="s">
        <v>33</v>
      </c>
      <c r="L3" s="121"/>
      <c r="M3" s="121"/>
      <c r="N3" s="121"/>
      <c r="O3" s="121"/>
      <c r="P3" s="121"/>
      <c r="Q3" s="121"/>
      <c r="R3" s="121"/>
    </row>
    <row r="4" spans="1:18" ht="14.25" customHeight="1" x14ac:dyDescent="0.25">
      <c r="K4" s="152"/>
      <c r="L4" s="151"/>
      <c r="M4" s="151"/>
      <c r="N4" s="151"/>
      <c r="O4" s="151"/>
      <c r="P4" s="151"/>
      <c r="Q4" s="151"/>
      <c r="R4" s="151"/>
    </row>
    <row r="7" spans="1:18" ht="15.75" x14ac:dyDescent="0.25">
      <c r="A7" s="153" t="s">
        <v>35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18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9.25" customHeight="1" x14ac:dyDescent="0.25">
      <c r="A9" s="120" t="s">
        <v>24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</row>
    <row r="11" spans="1:18" ht="15.75" thickBot="1" x14ac:dyDescent="0.3"/>
    <row r="12" spans="1:18" ht="89.25" customHeight="1" thickBot="1" x14ac:dyDescent="0.3">
      <c r="A12" s="148" t="s">
        <v>0</v>
      </c>
      <c r="B12" s="133" t="s">
        <v>38</v>
      </c>
      <c r="C12" s="134"/>
      <c r="D12" s="134"/>
      <c r="E12" s="134"/>
      <c r="F12" s="134"/>
      <c r="G12" s="139" t="s">
        <v>39</v>
      </c>
      <c r="H12" s="140"/>
      <c r="I12" s="140"/>
      <c r="J12" s="140"/>
      <c r="K12" s="140"/>
      <c r="L12" s="140"/>
      <c r="M12" s="140"/>
      <c r="N12" s="140"/>
      <c r="O12" s="141"/>
      <c r="P12" s="23" t="s">
        <v>1</v>
      </c>
      <c r="Q12" s="135" t="s">
        <v>2</v>
      </c>
      <c r="R12" s="123" t="s">
        <v>59</v>
      </c>
    </row>
    <row r="13" spans="1:18" ht="22.5" customHeight="1" x14ac:dyDescent="0.25">
      <c r="A13" s="149"/>
      <c r="B13" s="125" t="s">
        <v>3</v>
      </c>
      <c r="C13" s="125" t="s">
        <v>4</v>
      </c>
      <c r="D13" s="125" t="s">
        <v>5</v>
      </c>
      <c r="E13" s="127" t="s">
        <v>6</v>
      </c>
      <c r="F13" s="128"/>
      <c r="G13" s="129" t="s">
        <v>40</v>
      </c>
      <c r="H13" s="126" t="s">
        <v>37</v>
      </c>
      <c r="I13" s="126" t="s">
        <v>41</v>
      </c>
      <c r="J13" s="126" t="s">
        <v>42</v>
      </c>
      <c r="K13" s="129" t="s">
        <v>43</v>
      </c>
      <c r="L13" s="137" t="s">
        <v>44</v>
      </c>
      <c r="M13" s="142" t="s">
        <v>45</v>
      </c>
      <c r="N13" s="144" t="s">
        <v>7</v>
      </c>
      <c r="O13" s="145"/>
      <c r="P13" s="24" t="s">
        <v>47</v>
      </c>
      <c r="Q13" s="129"/>
      <c r="R13" s="124"/>
    </row>
    <row r="14" spans="1:18" ht="79.5" customHeight="1" thickBot="1" x14ac:dyDescent="0.3">
      <c r="A14" s="149"/>
      <c r="B14" s="126"/>
      <c r="C14" s="126"/>
      <c r="D14" s="126"/>
      <c r="E14" s="129"/>
      <c r="F14" s="130"/>
      <c r="G14" s="129"/>
      <c r="H14" s="126"/>
      <c r="I14" s="126"/>
      <c r="J14" s="126"/>
      <c r="K14" s="129"/>
      <c r="L14" s="138"/>
      <c r="M14" s="143"/>
      <c r="N14" s="146"/>
      <c r="O14" s="147"/>
      <c r="P14" s="18"/>
      <c r="Q14" s="136"/>
      <c r="R14" s="124"/>
    </row>
    <row r="15" spans="1:18" ht="51" customHeight="1" thickBot="1" x14ac:dyDescent="0.3">
      <c r="A15" s="1"/>
      <c r="B15" s="2" t="s">
        <v>10</v>
      </c>
      <c r="C15" s="2" t="s">
        <v>10</v>
      </c>
      <c r="D15" s="2" t="s">
        <v>10</v>
      </c>
      <c r="E15" s="2" t="s">
        <v>10</v>
      </c>
      <c r="F15" s="3" t="s">
        <v>57</v>
      </c>
      <c r="G15" s="2" t="s">
        <v>10</v>
      </c>
      <c r="H15" s="2" t="s">
        <v>10</v>
      </c>
      <c r="I15" s="2" t="s">
        <v>10</v>
      </c>
      <c r="J15" s="2" t="s">
        <v>10</v>
      </c>
      <c r="K15" s="2" t="s">
        <v>10</v>
      </c>
      <c r="L15" s="2" t="s">
        <v>10</v>
      </c>
      <c r="M15" s="2" t="s">
        <v>10</v>
      </c>
      <c r="N15" s="2" t="s">
        <v>10</v>
      </c>
      <c r="O15" s="3" t="s">
        <v>58</v>
      </c>
      <c r="P15" s="17" t="s">
        <v>10</v>
      </c>
      <c r="Q15" s="19" t="s">
        <v>60</v>
      </c>
      <c r="R15" s="3" t="s">
        <v>61</v>
      </c>
    </row>
    <row r="16" spans="1:18" ht="19.5" customHeight="1" thickBot="1" x14ac:dyDescent="0.3">
      <c r="A16" s="2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4">
        <v>16</v>
      </c>
      <c r="Q16" s="20">
        <v>17</v>
      </c>
      <c r="R16" s="42">
        <v>18</v>
      </c>
    </row>
    <row r="17" spans="1:18" x14ac:dyDescent="0.25">
      <c r="A17" s="30" t="s">
        <v>8</v>
      </c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1"/>
      <c r="R17" s="8"/>
    </row>
    <row r="18" spans="1:18" ht="25.5" x14ac:dyDescent="0.25">
      <c r="A18" s="50" t="s">
        <v>56</v>
      </c>
      <c r="B18" s="31">
        <v>4367.47</v>
      </c>
      <c r="C18" s="52">
        <v>0</v>
      </c>
      <c r="D18" s="31">
        <v>134.12</v>
      </c>
      <c r="E18" s="34">
        <f t="shared" ref="E18" si="0">SUM(B18:D18)</f>
        <v>4501.59</v>
      </c>
      <c r="F18" s="34">
        <f>E18/115792</f>
        <v>3.8876519966837088E-2</v>
      </c>
      <c r="G18" s="34">
        <f>6631.42+44.48</f>
        <v>6675.9</v>
      </c>
      <c r="H18" s="34">
        <v>1425.6</v>
      </c>
      <c r="I18" s="25">
        <f>15+271.27</f>
        <v>286.27</v>
      </c>
      <c r="J18" s="34">
        <v>11.23</v>
      </c>
      <c r="K18" s="34">
        <v>78.67</v>
      </c>
      <c r="L18" s="25">
        <v>0</v>
      </c>
      <c r="M18" s="34">
        <f>1432.79+39.18</f>
        <v>1471.97</v>
      </c>
      <c r="N18" s="34">
        <f t="shared" ref="N18" si="1">SUM(G18:M18)</f>
        <v>9949.64</v>
      </c>
      <c r="O18" s="34">
        <f>N18/115792</f>
        <v>8.5926834323614754E-2</v>
      </c>
      <c r="P18" s="54">
        <f>E18+N18</f>
        <v>14451.23</v>
      </c>
      <c r="Q18" s="39" t="s">
        <v>63</v>
      </c>
      <c r="R18" s="35">
        <f>P18/115792</f>
        <v>0.12480335429045183</v>
      </c>
    </row>
    <row r="19" spans="1:18" ht="15.75" thickBot="1" x14ac:dyDescent="0.3">
      <c r="A19" s="51" t="s">
        <v>62</v>
      </c>
      <c r="B19" s="37">
        <v>0</v>
      </c>
      <c r="C19" s="37">
        <v>122.36</v>
      </c>
      <c r="D19" s="37">
        <v>0</v>
      </c>
      <c r="E19" s="33">
        <f t="shared" ref="E19" si="2">B19+C19+D19</f>
        <v>122.36</v>
      </c>
      <c r="F19" s="43">
        <f>E19/40</f>
        <v>3.0590000000000002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6">
        <v>0</v>
      </c>
      <c r="N19" s="37">
        <f>SUM(G19:M19)</f>
        <v>0</v>
      </c>
      <c r="O19" s="53">
        <f>N19/40*100</f>
        <v>0</v>
      </c>
      <c r="P19" s="55">
        <f>E19+N19</f>
        <v>122.36</v>
      </c>
      <c r="Q19" s="40" t="s">
        <v>64</v>
      </c>
      <c r="R19" s="44">
        <f>P19/40</f>
        <v>3.0590000000000002</v>
      </c>
    </row>
    <row r="20" spans="1:18" ht="15.75" thickBot="1" x14ac:dyDescent="0.3">
      <c r="A20" s="49" t="s">
        <v>9</v>
      </c>
      <c r="B20" s="48">
        <f>SUM(B18:B19)</f>
        <v>4367.47</v>
      </c>
      <c r="C20" s="26">
        <f>SUM(C18:C19)</f>
        <v>122.36</v>
      </c>
      <c r="D20" s="26">
        <f>SUM(D18:D19)</f>
        <v>134.12</v>
      </c>
      <c r="E20" s="26">
        <f>SUM(E18:E19)</f>
        <v>4623.95</v>
      </c>
      <c r="F20" s="27" t="s">
        <v>50</v>
      </c>
      <c r="G20" s="26">
        <f>SUM(G18:G19)</f>
        <v>6675.9</v>
      </c>
      <c r="H20" s="26">
        <f>SUM(H18:H19)</f>
        <v>1425.6</v>
      </c>
      <c r="I20" s="28">
        <f t="shared" ref="I20" si="3">SUM(I18:I19)</f>
        <v>286.27</v>
      </c>
      <c r="J20" s="28">
        <f>SUM(J18:J19)</f>
        <v>11.23</v>
      </c>
      <c r="K20" s="26">
        <f>SUM(K18:K19)</f>
        <v>78.67</v>
      </c>
      <c r="L20" s="28">
        <f>SUM(L18:L19)</f>
        <v>0</v>
      </c>
      <c r="M20" s="26">
        <f>SUM(M18:M19)</f>
        <v>1471.97</v>
      </c>
      <c r="N20" s="26">
        <f>SUM(N18:N19)</f>
        <v>9949.64</v>
      </c>
      <c r="O20" s="27" t="s">
        <v>50</v>
      </c>
      <c r="P20" s="38">
        <f>SUM(P18:P19)</f>
        <v>14573.59</v>
      </c>
      <c r="Q20" s="41">
        <f>SUM(Q18:Q19)</f>
        <v>0</v>
      </c>
      <c r="R20" s="29" t="s">
        <v>50</v>
      </c>
    </row>
    <row r="21" spans="1:18" ht="15.75" x14ac:dyDescent="0.25">
      <c r="A21" s="12"/>
    </row>
    <row r="22" spans="1:18" ht="15.75" x14ac:dyDescent="0.25">
      <c r="A22" s="12" t="s">
        <v>13</v>
      </c>
    </row>
    <row r="23" spans="1:18" ht="15.75" x14ac:dyDescent="0.25">
      <c r="A23" s="12" t="s">
        <v>14</v>
      </c>
    </row>
    <row r="24" spans="1:18" ht="15.75" x14ac:dyDescent="0.25">
      <c r="A24" s="12" t="s">
        <v>15</v>
      </c>
    </row>
    <row r="25" spans="1:18" ht="15.75" x14ac:dyDescent="0.25">
      <c r="A25" s="12" t="s">
        <v>46</v>
      </c>
    </row>
    <row r="26" spans="1:18" ht="15.75" x14ac:dyDescent="0.25">
      <c r="A26" s="12" t="s">
        <v>48</v>
      </c>
    </row>
    <row r="27" spans="1:18" ht="15.75" x14ac:dyDescent="0.25">
      <c r="A27" s="12"/>
    </row>
  </sheetData>
  <mergeCells count="23">
    <mergeCell ref="A12:A14"/>
    <mergeCell ref="B12:F12"/>
    <mergeCell ref="K13:K14"/>
    <mergeCell ref="A9:R9"/>
    <mergeCell ref="K1:R1"/>
    <mergeCell ref="K2:R2"/>
    <mergeCell ref="K3:R3"/>
    <mergeCell ref="K4:R4"/>
    <mergeCell ref="A7:R7"/>
    <mergeCell ref="L13:L14"/>
    <mergeCell ref="M13:M14"/>
    <mergeCell ref="N13:O14"/>
    <mergeCell ref="R12:R14"/>
    <mergeCell ref="B13:B14"/>
    <mergeCell ref="C13:C14"/>
    <mergeCell ref="D13:D14"/>
    <mergeCell ref="Q12:Q14"/>
    <mergeCell ref="G12:O12"/>
    <mergeCell ref="E13:F14"/>
    <mergeCell ref="G13:G14"/>
    <mergeCell ref="H13:H14"/>
    <mergeCell ref="I13:I14"/>
    <mergeCell ref="J13:J1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="84" zoomScaleNormal="84" workbookViewId="0">
      <selection activeCell="K4" sqref="K4:R4"/>
    </sheetView>
  </sheetViews>
  <sheetFormatPr defaultRowHeight="15" x14ac:dyDescent="0.25"/>
  <cols>
    <col min="1" max="1" width="36.85546875" customWidth="1"/>
    <col min="2" max="2" width="10.5703125" customWidth="1"/>
    <col min="5" max="5" width="11.7109375" customWidth="1"/>
    <col min="7" max="7" width="10.140625" customWidth="1"/>
    <col min="12" max="13" width="10.28515625" customWidth="1"/>
    <col min="14" max="14" width="10.140625" customWidth="1"/>
    <col min="16" max="16" width="11" customWidth="1"/>
    <col min="17" max="17" width="11.42578125" bestFit="1" customWidth="1"/>
    <col min="18" max="18" width="10.7109375" customWidth="1"/>
  </cols>
  <sheetData>
    <row r="1" spans="1:18" ht="15.75" x14ac:dyDescent="0.25">
      <c r="K1" s="151" t="s">
        <v>25</v>
      </c>
      <c r="L1" s="151"/>
      <c r="M1" s="151"/>
      <c r="N1" s="151"/>
      <c r="O1" s="151"/>
      <c r="P1" s="151"/>
      <c r="Q1" s="151"/>
      <c r="R1" s="151"/>
    </row>
    <row r="2" spans="1:18" ht="15.75" x14ac:dyDescent="0.25">
      <c r="K2" s="151" t="s">
        <v>11</v>
      </c>
      <c r="L2" s="151"/>
      <c r="M2" s="151"/>
      <c r="N2" s="151"/>
      <c r="O2" s="151"/>
      <c r="P2" s="151"/>
      <c r="Q2" s="151"/>
      <c r="R2" s="151"/>
    </row>
    <row r="3" spans="1:18" x14ac:dyDescent="0.25">
      <c r="K3" s="121" t="s">
        <v>33</v>
      </c>
      <c r="L3" s="121"/>
      <c r="M3" s="121"/>
      <c r="N3" s="121"/>
      <c r="O3" s="121"/>
      <c r="P3" s="121"/>
      <c r="Q3" s="121"/>
      <c r="R3" s="121"/>
    </row>
    <row r="4" spans="1:18" ht="20.25" customHeight="1" x14ac:dyDescent="0.25">
      <c r="K4" s="152"/>
      <c r="L4" s="151"/>
      <c r="M4" s="151"/>
      <c r="N4" s="151"/>
      <c r="O4" s="151"/>
      <c r="P4" s="151"/>
      <c r="Q4" s="151"/>
      <c r="R4" s="151"/>
    </row>
    <row r="7" spans="1:18" ht="15.75" x14ac:dyDescent="0.25">
      <c r="A7" s="153" t="s">
        <v>51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18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30" customHeight="1" x14ac:dyDescent="0.25">
      <c r="A9" s="120" t="s">
        <v>49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</row>
    <row r="11" spans="1:18" ht="15.75" thickBot="1" x14ac:dyDescent="0.3"/>
    <row r="12" spans="1:18" ht="88.5" customHeight="1" thickBot="1" x14ac:dyDescent="0.3">
      <c r="A12" s="148" t="s">
        <v>0</v>
      </c>
      <c r="B12" s="133" t="s">
        <v>38</v>
      </c>
      <c r="C12" s="134"/>
      <c r="D12" s="134"/>
      <c r="E12" s="134"/>
      <c r="F12" s="134"/>
      <c r="G12" s="139" t="s">
        <v>39</v>
      </c>
      <c r="H12" s="140"/>
      <c r="I12" s="140"/>
      <c r="J12" s="140"/>
      <c r="K12" s="140"/>
      <c r="L12" s="140"/>
      <c r="M12" s="140"/>
      <c r="N12" s="140"/>
      <c r="O12" s="141"/>
      <c r="P12" s="23" t="s">
        <v>1</v>
      </c>
      <c r="Q12" s="135" t="s">
        <v>2</v>
      </c>
      <c r="R12" s="123" t="s">
        <v>59</v>
      </c>
    </row>
    <row r="13" spans="1:18" ht="22.5" customHeight="1" x14ac:dyDescent="0.25">
      <c r="A13" s="149"/>
      <c r="B13" s="125" t="s">
        <v>3</v>
      </c>
      <c r="C13" s="125" t="s">
        <v>4</v>
      </c>
      <c r="D13" s="125" t="s">
        <v>5</v>
      </c>
      <c r="E13" s="127" t="s">
        <v>6</v>
      </c>
      <c r="F13" s="128"/>
      <c r="G13" s="129" t="s">
        <v>40</v>
      </c>
      <c r="H13" s="126" t="s">
        <v>37</v>
      </c>
      <c r="I13" s="126" t="s">
        <v>41</v>
      </c>
      <c r="J13" s="126" t="s">
        <v>42</v>
      </c>
      <c r="K13" s="129" t="s">
        <v>43</v>
      </c>
      <c r="L13" s="137" t="s">
        <v>44</v>
      </c>
      <c r="M13" s="142" t="s">
        <v>45</v>
      </c>
      <c r="N13" s="144" t="s">
        <v>7</v>
      </c>
      <c r="O13" s="145"/>
      <c r="P13" s="24" t="s">
        <v>47</v>
      </c>
      <c r="Q13" s="129"/>
      <c r="R13" s="124"/>
    </row>
    <row r="14" spans="1:18" ht="74.25" customHeight="1" thickBot="1" x14ac:dyDescent="0.3">
      <c r="A14" s="149"/>
      <c r="B14" s="126"/>
      <c r="C14" s="126"/>
      <c r="D14" s="126"/>
      <c r="E14" s="129"/>
      <c r="F14" s="130"/>
      <c r="G14" s="129"/>
      <c r="H14" s="126"/>
      <c r="I14" s="126"/>
      <c r="J14" s="126"/>
      <c r="K14" s="129"/>
      <c r="L14" s="138"/>
      <c r="M14" s="143"/>
      <c r="N14" s="146"/>
      <c r="O14" s="147"/>
      <c r="P14" s="18"/>
      <c r="Q14" s="136"/>
      <c r="R14" s="124"/>
    </row>
    <row r="15" spans="1:18" ht="54.75" customHeight="1" thickBot="1" x14ac:dyDescent="0.3">
      <c r="A15" s="1"/>
      <c r="B15" s="2" t="s">
        <v>10</v>
      </c>
      <c r="C15" s="2" t="s">
        <v>10</v>
      </c>
      <c r="D15" s="2" t="s">
        <v>10</v>
      </c>
      <c r="E15" s="2" t="s">
        <v>10</v>
      </c>
      <c r="F15" s="3" t="s">
        <v>57</v>
      </c>
      <c r="G15" s="2" t="s">
        <v>10</v>
      </c>
      <c r="H15" s="2" t="s">
        <v>10</v>
      </c>
      <c r="I15" s="2" t="s">
        <v>10</v>
      </c>
      <c r="J15" s="2" t="s">
        <v>10</v>
      </c>
      <c r="K15" s="2" t="s">
        <v>10</v>
      </c>
      <c r="L15" s="2" t="s">
        <v>10</v>
      </c>
      <c r="M15" s="2" t="s">
        <v>10</v>
      </c>
      <c r="N15" s="2" t="s">
        <v>10</v>
      </c>
      <c r="O15" s="3" t="s">
        <v>58</v>
      </c>
      <c r="P15" s="17" t="s">
        <v>10</v>
      </c>
      <c r="Q15" s="19" t="s">
        <v>60</v>
      </c>
      <c r="R15" s="3" t="s">
        <v>61</v>
      </c>
    </row>
    <row r="16" spans="1:18" ht="19.5" customHeight="1" thickBot="1" x14ac:dyDescent="0.3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4">
        <v>16</v>
      </c>
      <c r="Q16" s="20">
        <v>17</v>
      </c>
      <c r="R16" s="42">
        <v>18</v>
      </c>
    </row>
    <row r="17" spans="1:18" ht="16.5" customHeight="1" x14ac:dyDescent="0.25">
      <c r="A17" s="5" t="s">
        <v>8</v>
      </c>
      <c r="B17" s="6"/>
      <c r="C17" s="6"/>
      <c r="D17" s="6"/>
      <c r="E17" s="7"/>
      <c r="F17" s="7"/>
      <c r="G17" s="7"/>
      <c r="H17" s="118"/>
      <c r="I17" s="118"/>
      <c r="J17" s="118"/>
      <c r="K17" s="118"/>
      <c r="L17" s="7"/>
      <c r="M17" s="7"/>
      <c r="N17" s="7"/>
      <c r="O17" s="7"/>
      <c r="P17" s="7"/>
      <c r="Q17" s="21"/>
      <c r="R17" s="8"/>
    </row>
    <row r="18" spans="1:18" ht="23.25" thickBot="1" x14ac:dyDescent="0.3">
      <c r="A18" s="22" t="s">
        <v>56</v>
      </c>
      <c r="B18" s="32">
        <v>8100.39</v>
      </c>
      <c r="C18" s="32">
        <v>420.08</v>
      </c>
      <c r="D18" s="32">
        <v>35.159999999999997</v>
      </c>
      <c r="E18" s="33">
        <f t="shared" ref="E18" si="0">B18+C18+D18</f>
        <v>8555.630000000001</v>
      </c>
      <c r="F18" s="43">
        <f>E18/Q18</f>
        <v>8.7952115629754524E-2</v>
      </c>
      <c r="G18" s="32">
        <v>5472.48</v>
      </c>
      <c r="H18" s="68">
        <v>350.71</v>
      </c>
      <c r="I18" s="67">
        <v>434.13</v>
      </c>
      <c r="J18" s="68">
        <v>3.8</v>
      </c>
      <c r="K18" s="68">
        <v>83.94</v>
      </c>
      <c r="L18" s="37">
        <v>0</v>
      </c>
      <c r="M18" s="32">
        <v>613.72</v>
      </c>
      <c r="N18" s="32">
        <f>SUM(G18:M18)</f>
        <v>6958.78</v>
      </c>
      <c r="O18" s="43">
        <f>N18/Q18</f>
        <v>7.1536452979152107E-2</v>
      </c>
      <c r="P18" s="32">
        <f>E18+N18</f>
        <v>15514.41</v>
      </c>
      <c r="Q18" s="47">
        <v>97276</v>
      </c>
      <c r="R18" s="58">
        <f>P18/Q18</f>
        <v>0.15948856860890662</v>
      </c>
    </row>
    <row r="19" spans="1:18" ht="15.75" thickBot="1" x14ac:dyDescent="0.3">
      <c r="A19" s="10" t="s">
        <v>9</v>
      </c>
      <c r="B19" s="26">
        <f>SUM(B18:B18)</f>
        <v>8100.39</v>
      </c>
      <c r="C19" s="26">
        <f>SUM(C18:C18)</f>
        <v>420.08</v>
      </c>
      <c r="D19" s="26">
        <f>SUM(D18:D18)</f>
        <v>35.159999999999997</v>
      </c>
      <c r="E19" s="26">
        <f>SUM(E18:E18)</f>
        <v>8555.630000000001</v>
      </c>
      <c r="F19" s="27">
        <f>E19/Q19</f>
        <v>8.7952115629754524E-2</v>
      </c>
      <c r="G19" s="26">
        <f t="shared" ref="G19:N19" si="1">SUM(G18:G18)</f>
        <v>5472.48</v>
      </c>
      <c r="H19" s="26">
        <f t="shared" si="1"/>
        <v>350.71</v>
      </c>
      <c r="I19" s="28">
        <f t="shared" si="1"/>
        <v>434.13</v>
      </c>
      <c r="J19" s="28">
        <f t="shared" si="1"/>
        <v>3.8</v>
      </c>
      <c r="K19" s="26">
        <f t="shared" si="1"/>
        <v>83.94</v>
      </c>
      <c r="L19" s="28">
        <f t="shared" si="1"/>
        <v>0</v>
      </c>
      <c r="M19" s="26">
        <f t="shared" si="1"/>
        <v>613.72</v>
      </c>
      <c r="N19" s="26">
        <f t="shared" si="1"/>
        <v>6958.78</v>
      </c>
      <c r="O19" s="27">
        <f>N19/Q19</f>
        <v>7.1536452979152107E-2</v>
      </c>
      <c r="P19" s="38">
        <f>SUM(P18:P18)</f>
        <v>15514.41</v>
      </c>
      <c r="Q19" s="41">
        <f>SUM(Q18:Q18)</f>
        <v>97276</v>
      </c>
      <c r="R19" s="56">
        <f>SUM(R18:R18)</f>
        <v>0.15948856860890662</v>
      </c>
    </row>
    <row r="20" spans="1:18" ht="15.75" x14ac:dyDescent="0.25">
      <c r="A20" s="12"/>
    </row>
    <row r="21" spans="1:18" ht="15.75" x14ac:dyDescent="0.25">
      <c r="A21" s="12" t="s">
        <v>13</v>
      </c>
    </row>
    <row r="22" spans="1:18" ht="15.75" x14ac:dyDescent="0.25">
      <c r="A22" s="12" t="s">
        <v>14</v>
      </c>
    </row>
    <row r="23" spans="1:18" ht="15.75" x14ac:dyDescent="0.25">
      <c r="A23" s="12" t="s">
        <v>15</v>
      </c>
    </row>
    <row r="24" spans="1:18" ht="15.75" x14ac:dyDescent="0.25">
      <c r="A24" s="12" t="s">
        <v>46</v>
      </c>
    </row>
    <row r="25" spans="1:18" ht="15.75" x14ac:dyDescent="0.25">
      <c r="A25" s="12" t="s">
        <v>48</v>
      </c>
    </row>
    <row r="26" spans="1:18" ht="15.75" x14ac:dyDescent="0.25">
      <c r="A26" s="12"/>
    </row>
  </sheetData>
  <mergeCells count="23">
    <mergeCell ref="A12:A14"/>
    <mergeCell ref="B12:F12"/>
    <mergeCell ref="K13:K14"/>
    <mergeCell ref="K1:R1"/>
    <mergeCell ref="K2:R2"/>
    <mergeCell ref="K3:R3"/>
    <mergeCell ref="K4:R4"/>
    <mergeCell ref="A7:R7"/>
    <mergeCell ref="A9:R9"/>
    <mergeCell ref="R12:R14"/>
    <mergeCell ref="B13:B14"/>
    <mergeCell ref="C13:C14"/>
    <mergeCell ref="D13:D14"/>
    <mergeCell ref="E13:F14"/>
    <mergeCell ref="G13:G14"/>
    <mergeCell ref="H13:H14"/>
    <mergeCell ref="I13:I14"/>
    <mergeCell ref="J13:J14"/>
    <mergeCell ref="Q12:Q14"/>
    <mergeCell ref="G12:O12"/>
    <mergeCell ref="L13:L14"/>
    <mergeCell ref="M13:M14"/>
    <mergeCell ref="N13:O1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topLeftCell="B1" zoomScale="84" zoomScaleNormal="84" workbookViewId="0">
      <selection activeCell="K4" sqref="K4:R4"/>
    </sheetView>
  </sheetViews>
  <sheetFormatPr defaultRowHeight="15" x14ac:dyDescent="0.25"/>
  <cols>
    <col min="1" max="1" width="36.85546875" customWidth="1"/>
    <col min="2" max="3" width="10.85546875" customWidth="1"/>
    <col min="5" max="5" width="11.42578125" customWidth="1"/>
    <col min="7" max="8" width="10.5703125" customWidth="1"/>
    <col min="12" max="12" width="10.7109375" customWidth="1"/>
    <col min="14" max="14" width="10.5703125" customWidth="1"/>
    <col min="15" max="15" width="8.85546875" customWidth="1"/>
    <col min="16" max="16" width="12.85546875" customWidth="1"/>
    <col min="17" max="18" width="11.140625" customWidth="1"/>
  </cols>
  <sheetData>
    <row r="1" spans="1:18" ht="15.75" x14ac:dyDescent="0.25">
      <c r="K1" s="151" t="s">
        <v>25</v>
      </c>
      <c r="L1" s="151"/>
      <c r="M1" s="151"/>
      <c r="N1" s="151"/>
      <c r="O1" s="151"/>
      <c r="P1" s="151"/>
      <c r="Q1" s="151"/>
      <c r="R1" s="151"/>
    </row>
    <row r="2" spans="1:18" ht="15.75" x14ac:dyDescent="0.25">
      <c r="K2" s="151" t="s">
        <v>11</v>
      </c>
      <c r="L2" s="151"/>
      <c r="M2" s="151"/>
      <c r="N2" s="151"/>
      <c r="O2" s="151"/>
      <c r="P2" s="151"/>
      <c r="Q2" s="151"/>
      <c r="R2" s="151"/>
    </row>
    <row r="3" spans="1:18" x14ac:dyDescent="0.25">
      <c r="K3" s="121" t="s">
        <v>33</v>
      </c>
      <c r="L3" s="121"/>
      <c r="M3" s="121"/>
      <c r="N3" s="121"/>
      <c r="O3" s="121"/>
      <c r="P3" s="121"/>
      <c r="Q3" s="121"/>
      <c r="R3" s="121"/>
    </row>
    <row r="4" spans="1:18" ht="15" customHeight="1" x14ac:dyDescent="0.25">
      <c r="K4" s="152"/>
      <c r="L4" s="151"/>
      <c r="M4" s="151"/>
      <c r="N4" s="151"/>
      <c r="O4" s="151"/>
      <c r="P4" s="151"/>
      <c r="Q4" s="151"/>
      <c r="R4" s="151"/>
    </row>
    <row r="7" spans="1:18" ht="15.75" x14ac:dyDescent="0.25">
      <c r="A7" s="153" t="s">
        <v>51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18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30" customHeight="1" x14ac:dyDescent="0.25">
      <c r="A9" s="120" t="s">
        <v>34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</row>
    <row r="11" spans="1:18" ht="15.75" thickBot="1" x14ac:dyDescent="0.3"/>
    <row r="12" spans="1:18" ht="68.25" customHeight="1" thickBot="1" x14ac:dyDescent="0.3">
      <c r="A12" s="148" t="s">
        <v>0</v>
      </c>
      <c r="B12" s="133" t="s">
        <v>38</v>
      </c>
      <c r="C12" s="134"/>
      <c r="D12" s="134"/>
      <c r="E12" s="134"/>
      <c r="F12" s="134"/>
      <c r="G12" s="139" t="s">
        <v>39</v>
      </c>
      <c r="H12" s="140"/>
      <c r="I12" s="140"/>
      <c r="J12" s="140"/>
      <c r="K12" s="140"/>
      <c r="L12" s="140"/>
      <c r="M12" s="140"/>
      <c r="N12" s="140"/>
      <c r="O12" s="141"/>
      <c r="P12" s="23" t="s">
        <v>1</v>
      </c>
      <c r="Q12" s="135" t="s">
        <v>2</v>
      </c>
      <c r="R12" s="123" t="s">
        <v>59</v>
      </c>
    </row>
    <row r="13" spans="1:18" ht="22.5" customHeight="1" x14ac:dyDescent="0.25">
      <c r="A13" s="149"/>
      <c r="B13" s="125" t="s">
        <v>3</v>
      </c>
      <c r="C13" s="125" t="s">
        <v>4</v>
      </c>
      <c r="D13" s="125" t="s">
        <v>5</v>
      </c>
      <c r="E13" s="127" t="s">
        <v>6</v>
      </c>
      <c r="F13" s="128"/>
      <c r="G13" s="129" t="s">
        <v>40</v>
      </c>
      <c r="H13" s="126" t="s">
        <v>37</v>
      </c>
      <c r="I13" s="126" t="s">
        <v>41</v>
      </c>
      <c r="J13" s="126" t="s">
        <v>42</v>
      </c>
      <c r="K13" s="129" t="s">
        <v>43</v>
      </c>
      <c r="L13" s="137" t="s">
        <v>44</v>
      </c>
      <c r="M13" s="142" t="s">
        <v>45</v>
      </c>
      <c r="N13" s="144" t="s">
        <v>7</v>
      </c>
      <c r="O13" s="145"/>
      <c r="P13" s="24" t="s">
        <v>47</v>
      </c>
      <c r="Q13" s="129"/>
      <c r="R13" s="124"/>
    </row>
    <row r="14" spans="1:18" ht="78.75" customHeight="1" thickBot="1" x14ac:dyDescent="0.3">
      <c r="A14" s="149"/>
      <c r="B14" s="126"/>
      <c r="C14" s="126"/>
      <c r="D14" s="126"/>
      <c r="E14" s="129"/>
      <c r="F14" s="130"/>
      <c r="G14" s="129"/>
      <c r="H14" s="126"/>
      <c r="I14" s="126"/>
      <c r="J14" s="126"/>
      <c r="K14" s="129"/>
      <c r="L14" s="138"/>
      <c r="M14" s="143"/>
      <c r="N14" s="146"/>
      <c r="O14" s="147"/>
      <c r="P14" s="18"/>
      <c r="Q14" s="136"/>
      <c r="R14" s="124"/>
    </row>
    <row r="15" spans="1:18" ht="37.5" customHeight="1" thickBot="1" x14ac:dyDescent="0.3">
      <c r="A15" s="1"/>
      <c r="B15" s="2" t="s">
        <v>10</v>
      </c>
      <c r="C15" s="2" t="s">
        <v>10</v>
      </c>
      <c r="D15" s="2" t="s">
        <v>10</v>
      </c>
      <c r="E15" s="2" t="s">
        <v>10</v>
      </c>
      <c r="F15" s="3" t="s">
        <v>57</v>
      </c>
      <c r="G15" s="2" t="s">
        <v>10</v>
      </c>
      <c r="H15" s="2" t="s">
        <v>10</v>
      </c>
      <c r="I15" s="2" t="s">
        <v>10</v>
      </c>
      <c r="J15" s="2" t="s">
        <v>10</v>
      </c>
      <c r="K15" s="2" t="s">
        <v>10</v>
      </c>
      <c r="L15" s="2" t="s">
        <v>10</v>
      </c>
      <c r="M15" s="2" t="s">
        <v>10</v>
      </c>
      <c r="N15" s="2" t="s">
        <v>10</v>
      </c>
      <c r="O15" s="3" t="s">
        <v>58</v>
      </c>
      <c r="P15" s="17" t="s">
        <v>10</v>
      </c>
      <c r="Q15" s="19" t="s">
        <v>60</v>
      </c>
      <c r="R15" s="3" t="s">
        <v>61</v>
      </c>
    </row>
    <row r="16" spans="1:18" ht="19.5" customHeight="1" thickBot="1" x14ac:dyDescent="0.3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4">
        <v>16</v>
      </c>
      <c r="Q16" s="20">
        <v>17</v>
      </c>
      <c r="R16" s="42">
        <v>18</v>
      </c>
    </row>
    <row r="17" spans="1:18" ht="16.5" customHeight="1" x14ac:dyDescent="0.25">
      <c r="A17" s="5" t="s">
        <v>8</v>
      </c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1"/>
      <c r="R17" s="8"/>
    </row>
    <row r="18" spans="1:18" ht="23.25" thickBot="1" x14ac:dyDescent="0.3">
      <c r="A18" s="22" t="s">
        <v>56</v>
      </c>
      <c r="B18" s="32">
        <v>4062.9</v>
      </c>
      <c r="C18" s="32">
        <v>1493.9</v>
      </c>
      <c r="D18" s="32">
        <v>5</v>
      </c>
      <c r="E18" s="33">
        <f t="shared" ref="E18" si="0">B18+C18+D18</f>
        <v>5561.8</v>
      </c>
      <c r="F18" s="43">
        <f>E18/Q18</f>
        <v>0.11985088135154938</v>
      </c>
      <c r="G18" s="32">
        <v>4807</v>
      </c>
      <c r="H18" s="32">
        <v>601.20000000000005</v>
      </c>
      <c r="I18" s="37">
        <v>3076.53</v>
      </c>
      <c r="J18" s="32">
        <v>333.8</v>
      </c>
      <c r="K18" s="32">
        <v>83.2</v>
      </c>
      <c r="L18" s="37">
        <v>0</v>
      </c>
      <c r="M18" s="32">
        <v>272.7</v>
      </c>
      <c r="N18" s="32">
        <f>SUM(G18:M18)</f>
        <v>9174.43</v>
      </c>
      <c r="O18" s="43">
        <f>N18/Q18</f>
        <v>0.19769921992845754</v>
      </c>
      <c r="P18" s="32">
        <f>E18+N18</f>
        <v>14736.23</v>
      </c>
      <c r="Q18" s="47">
        <v>46406</v>
      </c>
      <c r="R18" s="58">
        <f>P18/Q18</f>
        <v>0.31755010128000688</v>
      </c>
    </row>
    <row r="19" spans="1:18" ht="15.75" thickBot="1" x14ac:dyDescent="0.3">
      <c r="A19" s="10" t="s">
        <v>9</v>
      </c>
      <c r="B19" s="26">
        <f>SUM(B18:B18)</f>
        <v>4062.9</v>
      </c>
      <c r="C19" s="26">
        <f>SUM(C18:C18)</f>
        <v>1493.9</v>
      </c>
      <c r="D19" s="26">
        <f>SUM(D18:D18)</f>
        <v>5</v>
      </c>
      <c r="E19" s="26">
        <f>SUM(E18:E18)</f>
        <v>5561.8</v>
      </c>
      <c r="F19" s="27">
        <f>E19/Q19</f>
        <v>0.11985088135154938</v>
      </c>
      <c r="G19" s="26">
        <f t="shared" ref="G19:N19" si="1">SUM(G18:G18)</f>
        <v>4807</v>
      </c>
      <c r="H19" s="26">
        <f t="shared" si="1"/>
        <v>601.20000000000005</v>
      </c>
      <c r="I19" s="28">
        <f t="shared" si="1"/>
        <v>3076.53</v>
      </c>
      <c r="J19" s="28">
        <f t="shared" si="1"/>
        <v>333.8</v>
      </c>
      <c r="K19" s="26">
        <f t="shared" si="1"/>
        <v>83.2</v>
      </c>
      <c r="L19" s="28">
        <f t="shared" si="1"/>
        <v>0</v>
      </c>
      <c r="M19" s="26">
        <f t="shared" si="1"/>
        <v>272.7</v>
      </c>
      <c r="N19" s="26">
        <f t="shared" si="1"/>
        <v>9174.43</v>
      </c>
      <c r="O19" s="27">
        <f>N19/Q19</f>
        <v>0.19769921992845754</v>
      </c>
      <c r="P19" s="38">
        <f>SUM(P18:P18)</f>
        <v>14736.23</v>
      </c>
      <c r="Q19" s="41">
        <f>SUM(Q18:Q18)</f>
        <v>46406</v>
      </c>
      <c r="R19" s="56">
        <f>SUM(R18:R18)</f>
        <v>0.31755010128000688</v>
      </c>
    </row>
    <row r="20" spans="1:18" ht="15.75" x14ac:dyDescent="0.25">
      <c r="A20" s="12"/>
    </row>
    <row r="21" spans="1:18" ht="15.75" x14ac:dyDescent="0.25">
      <c r="A21" s="12" t="s">
        <v>13</v>
      </c>
    </row>
    <row r="22" spans="1:18" ht="15.75" x14ac:dyDescent="0.25">
      <c r="A22" s="12" t="s">
        <v>14</v>
      </c>
    </row>
    <row r="23" spans="1:18" ht="15.75" x14ac:dyDescent="0.25">
      <c r="A23" s="12" t="s">
        <v>15</v>
      </c>
    </row>
    <row r="24" spans="1:18" ht="15.75" x14ac:dyDescent="0.25">
      <c r="A24" s="12" t="s">
        <v>46</v>
      </c>
    </row>
    <row r="25" spans="1:18" ht="15.75" x14ac:dyDescent="0.25">
      <c r="A25" s="12" t="s">
        <v>48</v>
      </c>
    </row>
    <row r="26" spans="1:18" ht="15.75" x14ac:dyDescent="0.25">
      <c r="A26" s="12"/>
    </row>
  </sheetData>
  <mergeCells count="23">
    <mergeCell ref="I13:I14"/>
    <mergeCell ref="J13:J14"/>
    <mergeCell ref="Q12:Q14"/>
    <mergeCell ref="G12:O12"/>
    <mergeCell ref="L13:L14"/>
    <mergeCell ref="M13:M14"/>
    <mergeCell ref="N13:O14"/>
    <mergeCell ref="A12:A14"/>
    <mergeCell ref="B12:F12"/>
    <mergeCell ref="K13:K14"/>
    <mergeCell ref="A9:R9"/>
    <mergeCell ref="K1:R1"/>
    <mergeCell ref="K2:R2"/>
    <mergeCell ref="K3:R3"/>
    <mergeCell ref="K4:R4"/>
    <mergeCell ref="A7:R7"/>
    <mergeCell ref="R12:R14"/>
    <mergeCell ref="B13:B14"/>
    <mergeCell ref="C13:C14"/>
    <mergeCell ref="D13:D14"/>
    <mergeCell ref="E13:F14"/>
    <mergeCell ref="G13:G14"/>
    <mergeCell ref="H13:H14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1</vt:lpstr>
      <vt:lpstr>Приложение 2 АЛЕНУШКА</vt:lpstr>
      <vt:lpstr>Приложение 3 СОЛНЫШКО</vt:lpstr>
      <vt:lpstr>Приложение 4 ДМШ </vt:lpstr>
      <vt:lpstr>Прилоржение 5 ДЮСШ</vt:lpstr>
      <vt:lpstr>Приложение 6 ЦДТ</vt:lpstr>
      <vt:lpstr>Приложение 7 СЮТ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2018-12-28T03:54:40Z</dcterms:modified>
</cp:coreProperties>
</file>