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9390" firstSheet="4" activeTab="9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1" r:id="rId5"/>
    <sheet name="Приложение 6" sheetId="8" r:id="rId6"/>
    <sheet name="Приложение 7" sheetId="9" r:id="rId7"/>
    <sheet name="Приложение 8" sheetId="7" r:id="rId8"/>
    <sheet name="Приложение 9" sheetId="10" r:id="rId9"/>
    <sheet name="Приложение 10" sheetId="11" r:id="rId10"/>
  </sheets>
  <definedNames>
    <definedName name="_xlnm.Print_Area" localSheetId="0">'Приложение 1'!$H$3:$N$119</definedName>
    <definedName name="_xlnm.Print_Area" localSheetId="1">'Приложение 2'!$O$1:$U$117</definedName>
    <definedName name="_xlnm.Print_Area" localSheetId="2">'Приложение 3'!$V$3:$AB$120</definedName>
    <definedName name="_xlnm.Print_Area" localSheetId="3">'Приложение 4'!$AC$3:$AI$118</definedName>
    <definedName name="_xlnm.Print_Area" localSheetId="4">'Приложение 5'!$AJ$3:$AP$120</definedName>
    <definedName name="_xlnm.Print_Area" localSheetId="5">'Приложение 6'!$A$3:$G$71</definedName>
    <definedName name="_xlnm.Print_Area" localSheetId="6">'Приложение 7'!$H$4:$N$72</definedName>
    <definedName name="_xlnm.Print_Area" localSheetId="7">'Приложение 8'!$O$3:$U$71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1" l="1"/>
  <c r="F35" i="11"/>
  <c r="F32" i="11"/>
  <c r="F29" i="11"/>
  <c r="F16" i="11"/>
  <c r="F11" i="11"/>
  <c r="F49" i="11"/>
  <c r="F50" i="11" l="1"/>
  <c r="F53" i="11" s="1"/>
  <c r="AG19" i="5"/>
  <c r="F50" i="10" l="1"/>
  <c r="F51" i="10" s="1"/>
  <c r="F36" i="10"/>
  <c r="F33" i="10"/>
  <c r="F30" i="10"/>
  <c r="F17" i="10"/>
  <c r="F11" i="10"/>
  <c r="T73" i="9"/>
  <c r="M73" i="9"/>
  <c r="F73" i="9"/>
  <c r="W72" i="9"/>
  <c r="V72" i="9"/>
  <c r="S72" i="9" s="1"/>
  <c r="T46" i="9"/>
  <c r="M46" i="9"/>
  <c r="F46" i="9"/>
  <c r="T37" i="9"/>
  <c r="M37" i="9"/>
  <c r="F37" i="9"/>
  <c r="T34" i="9"/>
  <c r="M34" i="9"/>
  <c r="F34" i="9"/>
  <c r="T31" i="9"/>
  <c r="M31" i="9"/>
  <c r="F31" i="9"/>
  <c r="T18" i="9"/>
  <c r="M18" i="9"/>
  <c r="F18" i="9"/>
  <c r="W17" i="9"/>
  <c r="V17" i="9"/>
  <c r="S17" i="9" s="1"/>
  <c r="T15" i="9"/>
  <c r="T74" i="9" s="1"/>
  <c r="T77" i="9" s="1"/>
  <c r="M15" i="9"/>
  <c r="M74" i="9" s="1"/>
  <c r="M77" i="9" s="1"/>
  <c r="F15" i="9"/>
  <c r="F74" i="9" s="1"/>
  <c r="W14" i="9"/>
  <c r="V14" i="9" s="1"/>
  <c r="N2" i="9"/>
  <c r="G2" i="9"/>
  <c r="T72" i="8"/>
  <c r="M72" i="8"/>
  <c r="F72" i="8"/>
  <c r="W71" i="8"/>
  <c r="V71" i="8"/>
  <c r="S71" i="8" s="1"/>
  <c r="T45" i="8"/>
  <c r="M45" i="8"/>
  <c r="F45" i="8"/>
  <c r="T36" i="8"/>
  <c r="M36" i="8"/>
  <c r="F36" i="8"/>
  <c r="T33" i="8"/>
  <c r="M33" i="8"/>
  <c r="F33" i="8"/>
  <c r="T30" i="8"/>
  <c r="M30" i="8"/>
  <c r="F30" i="8"/>
  <c r="T17" i="8"/>
  <c r="M17" i="8"/>
  <c r="F17" i="8"/>
  <c r="W16" i="8"/>
  <c r="V16" i="8"/>
  <c r="S16" i="8" s="1"/>
  <c r="T14" i="8"/>
  <c r="T73" i="8" s="1"/>
  <c r="T76" i="8" s="1"/>
  <c r="M14" i="8"/>
  <c r="M73" i="8" s="1"/>
  <c r="M76" i="8" s="1"/>
  <c r="F14" i="8"/>
  <c r="W13" i="8"/>
  <c r="V13" i="8" s="1"/>
  <c r="N2" i="8"/>
  <c r="G2" i="8"/>
  <c r="T72" i="7"/>
  <c r="M72" i="7"/>
  <c r="F72" i="7"/>
  <c r="W71" i="7"/>
  <c r="V71" i="7"/>
  <c r="S71" i="7" s="1"/>
  <c r="T45" i="7"/>
  <c r="M45" i="7"/>
  <c r="F45" i="7"/>
  <c r="T36" i="7"/>
  <c r="M36" i="7"/>
  <c r="F36" i="7"/>
  <c r="T33" i="7"/>
  <c r="M33" i="7"/>
  <c r="F33" i="7"/>
  <c r="T30" i="7"/>
  <c r="M30" i="7"/>
  <c r="F30" i="7"/>
  <c r="T17" i="7"/>
  <c r="M17" i="7"/>
  <c r="F17" i="7"/>
  <c r="W16" i="7"/>
  <c r="V16" i="7"/>
  <c r="S16" i="7" s="1"/>
  <c r="T14" i="7"/>
  <c r="T73" i="7" s="1"/>
  <c r="T76" i="7" s="1"/>
  <c r="M14" i="7"/>
  <c r="M73" i="7" s="1"/>
  <c r="M76" i="7" s="1"/>
  <c r="F14" i="7"/>
  <c r="F73" i="7" s="1"/>
  <c r="W13" i="7"/>
  <c r="V13" i="7" s="1"/>
  <c r="N2" i="7"/>
  <c r="G2" i="7"/>
  <c r="AQ121" i="5"/>
  <c r="AQ120" i="5"/>
  <c r="AQ119" i="5"/>
  <c r="AP119" i="5"/>
  <c r="AI119" i="5"/>
  <c r="AB119" i="5"/>
  <c r="U119" i="5"/>
  <c r="N119" i="5"/>
  <c r="G118" i="5"/>
  <c r="G117" i="5"/>
  <c r="G116" i="5"/>
  <c r="G115" i="5"/>
  <c r="AO114" i="5"/>
  <c r="AH114" i="5"/>
  <c r="AA114" i="5"/>
  <c r="T114" i="5"/>
  <c r="M114" i="5"/>
  <c r="E114" i="5"/>
  <c r="G114" i="5" s="1"/>
  <c r="AG114" i="5" s="1"/>
  <c r="F113" i="5"/>
  <c r="G113" i="5" s="1"/>
  <c r="G112" i="5"/>
  <c r="G111" i="5"/>
  <c r="G110" i="5"/>
  <c r="F109" i="5"/>
  <c r="G109" i="5" s="1"/>
  <c r="G108" i="5"/>
  <c r="G107" i="5"/>
  <c r="G106" i="5"/>
  <c r="G105" i="5"/>
  <c r="F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AQ90" i="5"/>
  <c r="AO89" i="5"/>
  <c r="AH89" i="5"/>
  <c r="AA89" i="5"/>
  <c r="T89" i="5"/>
  <c r="M89" i="5"/>
  <c r="AQ88" i="5"/>
  <c r="AQ87" i="5"/>
  <c r="AQ86" i="5"/>
  <c r="AQ85" i="5"/>
  <c r="AQ84" i="5"/>
  <c r="AQ83" i="5"/>
  <c r="AQ82" i="5"/>
  <c r="AQ81" i="5"/>
  <c r="AQ80" i="5"/>
  <c r="AQ79" i="5"/>
  <c r="AQ78" i="5"/>
  <c r="AQ77" i="5"/>
  <c r="AQ76" i="5"/>
  <c r="AQ75" i="5"/>
  <c r="AQ74" i="5"/>
  <c r="AQ73" i="5"/>
  <c r="AQ72" i="5"/>
  <c r="AQ71" i="5"/>
  <c r="AQ70" i="5"/>
  <c r="AQ69" i="5"/>
  <c r="AQ68" i="5"/>
  <c r="G67" i="5"/>
  <c r="AN67" i="5" s="1"/>
  <c r="AN89" i="5" s="1"/>
  <c r="AQ66" i="5"/>
  <c r="AQ65" i="5"/>
  <c r="AP65" i="5"/>
  <c r="AI65" i="5"/>
  <c r="AB65" i="5"/>
  <c r="U65" i="5"/>
  <c r="N65" i="5"/>
  <c r="F65" i="5"/>
  <c r="G64" i="5"/>
  <c r="G63" i="5"/>
  <c r="G62" i="5"/>
  <c r="G61" i="5"/>
  <c r="G60" i="5"/>
  <c r="G59" i="5"/>
  <c r="AQ58" i="5"/>
  <c r="AQ57" i="5"/>
  <c r="G56" i="5"/>
  <c r="G55" i="5"/>
  <c r="F54" i="5"/>
  <c r="F57" i="5" s="1"/>
  <c r="E54" i="5"/>
  <c r="G54" i="5" s="1"/>
  <c r="AQ53" i="5"/>
  <c r="AQ52" i="5"/>
  <c r="AP52" i="5"/>
  <c r="AO52" i="5"/>
  <c r="AI52" i="5"/>
  <c r="AH52" i="5"/>
  <c r="AB52" i="5"/>
  <c r="AA52" i="5"/>
  <c r="U52" i="5"/>
  <c r="T52" i="5"/>
  <c r="N52" i="5"/>
  <c r="M52" i="5"/>
  <c r="F51" i="5"/>
  <c r="E51" i="5"/>
  <c r="F50" i="5"/>
  <c r="E50" i="5"/>
  <c r="AQ49" i="5"/>
  <c r="G48" i="5"/>
  <c r="G47" i="5"/>
  <c r="AQ46" i="5"/>
  <c r="F46" i="5"/>
  <c r="F45" i="5"/>
  <c r="F52" i="5" s="1"/>
  <c r="E45" i="5"/>
  <c r="G45" i="5" s="1"/>
  <c r="G44" i="5"/>
  <c r="G43" i="5"/>
  <c r="G42" i="5"/>
  <c r="AQ41" i="5"/>
  <c r="AQ40" i="5"/>
  <c r="AO40" i="5"/>
  <c r="AH40" i="5"/>
  <c r="AA40" i="5"/>
  <c r="T40" i="5"/>
  <c r="M40" i="5"/>
  <c r="F40" i="5"/>
  <c r="AO36" i="5" s="1"/>
  <c r="G39" i="5"/>
  <c r="AH38" i="5"/>
  <c r="G38" i="5"/>
  <c r="AQ37" i="5"/>
  <c r="AA37" i="5"/>
  <c r="AA36" i="5"/>
  <c r="G36" i="5"/>
  <c r="AA35" i="5"/>
  <c r="G35" i="5"/>
  <c r="AA34" i="5"/>
  <c r="G34" i="5"/>
  <c r="AA33" i="5"/>
  <c r="G33" i="5"/>
  <c r="AQ32" i="5"/>
  <c r="AQ31" i="5"/>
  <c r="AQ30" i="5"/>
  <c r="AQ29" i="5"/>
  <c r="AQ28" i="5"/>
  <c r="AP28" i="5"/>
  <c r="AP40" i="5" s="1"/>
  <c r="AI28" i="5"/>
  <c r="AI40" i="5" s="1"/>
  <c r="AB28" i="5"/>
  <c r="AB40" i="5" s="1"/>
  <c r="U28" i="5"/>
  <c r="U40" i="5" s="1"/>
  <c r="N28" i="5"/>
  <c r="N40" i="5" s="1"/>
  <c r="G27" i="5"/>
  <c r="G26" i="5"/>
  <c r="G25" i="5"/>
  <c r="F24" i="5"/>
  <c r="G24" i="5" s="1"/>
  <c r="F23" i="5"/>
  <c r="G23" i="5" s="1"/>
  <c r="G22" i="5"/>
  <c r="G21" i="5"/>
  <c r="F20" i="5"/>
  <c r="G20" i="5" s="1"/>
  <c r="F19" i="5"/>
  <c r="G19" i="5" s="1"/>
  <c r="G18" i="5"/>
  <c r="G17" i="5"/>
  <c r="G16" i="5"/>
  <c r="G15" i="5"/>
  <c r="AQ14" i="5"/>
  <c r="F13" i="5"/>
  <c r="G12" i="5"/>
  <c r="N2" i="5"/>
  <c r="G2" i="5"/>
  <c r="AH12" i="5" s="1"/>
  <c r="AQ123" i="4"/>
  <c r="AQ122" i="4"/>
  <c r="AQ121" i="4"/>
  <c r="AP121" i="4"/>
  <c r="AI121" i="4"/>
  <c r="AB121" i="4"/>
  <c r="U121" i="4"/>
  <c r="N121" i="4"/>
  <c r="G120" i="4"/>
  <c r="G119" i="4"/>
  <c r="G118" i="4"/>
  <c r="G117" i="4"/>
  <c r="AO116" i="4"/>
  <c r="AH116" i="4"/>
  <c r="AA116" i="4"/>
  <c r="T116" i="4"/>
  <c r="M116" i="4"/>
  <c r="E116" i="4"/>
  <c r="G116" i="4" s="1"/>
  <c r="F115" i="4"/>
  <c r="G115" i="4" s="1"/>
  <c r="G114" i="4"/>
  <c r="G113" i="4"/>
  <c r="G121" i="4" s="1"/>
  <c r="G112" i="4"/>
  <c r="F111" i="4"/>
  <c r="G111" i="4" s="1"/>
  <c r="G110" i="4"/>
  <c r="G109" i="4"/>
  <c r="G108" i="4"/>
  <c r="G107" i="4"/>
  <c r="F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AQ92" i="4"/>
  <c r="AO91" i="4"/>
  <c r="AH91" i="4"/>
  <c r="AA91" i="4"/>
  <c r="T91" i="4"/>
  <c r="M91" i="4"/>
  <c r="AQ90" i="4"/>
  <c r="AQ89" i="4"/>
  <c r="AQ88" i="4"/>
  <c r="AQ87" i="4"/>
  <c r="AQ86" i="4"/>
  <c r="AQ85" i="4"/>
  <c r="AQ84" i="4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G69" i="4"/>
  <c r="AG69" i="4" s="1"/>
  <c r="AG91" i="4" s="1"/>
  <c r="AQ68" i="4"/>
  <c r="AQ67" i="4"/>
  <c r="AP67" i="4"/>
  <c r="AI67" i="4"/>
  <c r="AB67" i="4"/>
  <c r="U67" i="4"/>
  <c r="N67" i="4"/>
  <c r="F67" i="4"/>
  <c r="G66" i="4"/>
  <c r="G65" i="4"/>
  <c r="G64" i="4"/>
  <c r="G63" i="4"/>
  <c r="G62" i="4"/>
  <c r="G61" i="4"/>
  <c r="G67" i="4" s="1"/>
  <c r="AQ60" i="4"/>
  <c r="AQ59" i="4"/>
  <c r="G58" i="4"/>
  <c r="G57" i="4"/>
  <c r="F56" i="4"/>
  <c r="F59" i="4" s="1"/>
  <c r="AO59" i="4" s="1"/>
  <c r="E56" i="4"/>
  <c r="G56" i="4" s="1"/>
  <c r="AQ55" i="4"/>
  <c r="AQ54" i="4"/>
  <c r="AP54" i="4"/>
  <c r="AO54" i="4"/>
  <c r="AI54" i="4"/>
  <c r="AH54" i="4"/>
  <c r="AB54" i="4"/>
  <c r="AA54" i="4"/>
  <c r="U54" i="4"/>
  <c r="T54" i="4"/>
  <c r="N54" i="4"/>
  <c r="M54" i="4"/>
  <c r="F53" i="4"/>
  <c r="E53" i="4"/>
  <c r="G53" i="4" s="1"/>
  <c r="F52" i="4"/>
  <c r="E52" i="4"/>
  <c r="AQ51" i="4"/>
  <c r="G50" i="4"/>
  <c r="G49" i="4"/>
  <c r="AQ48" i="4"/>
  <c r="F48" i="4"/>
  <c r="F47" i="4"/>
  <c r="E47" i="4"/>
  <c r="G46" i="4"/>
  <c r="G45" i="4"/>
  <c r="G44" i="4"/>
  <c r="AQ43" i="4"/>
  <c r="AQ42" i="4"/>
  <c r="AO42" i="4"/>
  <c r="AH42" i="4"/>
  <c r="AA42" i="4"/>
  <c r="T42" i="4"/>
  <c r="M42" i="4"/>
  <c r="F42" i="4"/>
  <c r="AH41" i="4" s="1"/>
  <c r="AA41" i="4"/>
  <c r="Z41" i="4" s="1"/>
  <c r="M41" i="4"/>
  <c r="L41" i="4" s="1"/>
  <c r="G41" i="4"/>
  <c r="AH40" i="4"/>
  <c r="T40" i="4"/>
  <c r="M40" i="4"/>
  <c r="L40" i="4" s="1"/>
  <c r="G40" i="4"/>
  <c r="AQ39" i="4"/>
  <c r="AO39" i="4"/>
  <c r="AH39" i="4"/>
  <c r="M39" i="4"/>
  <c r="AH38" i="4"/>
  <c r="AG38" i="4" s="1"/>
  <c r="T38" i="4"/>
  <c r="M38" i="4"/>
  <c r="G38" i="4"/>
  <c r="AO37" i="4"/>
  <c r="AH37" i="4"/>
  <c r="AA37" i="4"/>
  <c r="T37" i="4"/>
  <c r="M37" i="4"/>
  <c r="G37" i="4"/>
  <c r="AH36" i="4"/>
  <c r="AA36" i="4"/>
  <c r="T36" i="4"/>
  <c r="M36" i="4"/>
  <c r="G36" i="4"/>
  <c r="AH35" i="4"/>
  <c r="T35" i="4"/>
  <c r="M35" i="4"/>
  <c r="G35" i="4"/>
  <c r="AQ34" i="4"/>
  <c r="AQ33" i="4"/>
  <c r="AQ32" i="4"/>
  <c r="AQ31" i="4"/>
  <c r="AQ30" i="4"/>
  <c r="AQ29" i="4"/>
  <c r="AP29" i="4"/>
  <c r="AP42" i="4" s="1"/>
  <c r="AI29" i="4"/>
  <c r="AI42" i="4" s="1"/>
  <c r="AB29" i="4"/>
  <c r="AB42" i="4" s="1"/>
  <c r="U29" i="4"/>
  <c r="U42" i="4" s="1"/>
  <c r="N29" i="4"/>
  <c r="N42" i="4" s="1"/>
  <c r="G28" i="4"/>
  <c r="G27" i="4"/>
  <c r="G26" i="4"/>
  <c r="F25" i="4"/>
  <c r="G25" i="4" s="1"/>
  <c r="F24" i="4"/>
  <c r="G24" i="4" s="1"/>
  <c r="G23" i="4"/>
  <c r="G22" i="4"/>
  <c r="F21" i="4"/>
  <c r="G21" i="4" s="1"/>
  <c r="F20" i="4"/>
  <c r="G20" i="4" s="1"/>
  <c r="AQ19" i="4"/>
  <c r="G18" i="4"/>
  <c r="G17" i="4"/>
  <c r="G16" i="4"/>
  <c r="G15" i="4"/>
  <c r="AQ14" i="4"/>
  <c r="F13" i="4"/>
  <c r="G12" i="4"/>
  <c r="N2" i="4"/>
  <c r="G2" i="4"/>
  <c r="AO12" i="4" s="1"/>
  <c r="AO13" i="4" s="1"/>
  <c r="AQ120" i="3"/>
  <c r="AQ119" i="3"/>
  <c r="AQ118" i="3"/>
  <c r="AP118" i="3"/>
  <c r="AI118" i="3"/>
  <c r="AB118" i="3"/>
  <c r="U118" i="3"/>
  <c r="N118" i="3"/>
  <c r="G117" i="3"/>
  <c r="G116" i="3"/>
  <c r="G115" i="3"/>
  <c r="G114" i="3"/>
  <c r="AO113" i="3"/>
  <c r="AH113" i="3"/>
  <c r="AA113" i="3"/>
  <c r="T113" i="3"/>
  <c r="M113" i="3"/>
  <c r="E113" i="3"/>
  <c r="G113" i="3" s="1"/>
  <c r="F112" i="3"/>
  <c r="G112" i="3" s="1"/>
  <c r="G111" i="3"/>
  <c r="G110" i="3"/>
  <c r="G118" i="3" s="1"/>
  <c r="G109" i="3"/>
  <c r="F108" i="3"/>
  <c r="G108" i="3" s="1"/>
  <c r="G107" i="3"/>
  <c r="G106" i="3"/>
  <c r="G105" i="3"/>
  <c r="F104" i="3"/>
  <c r="G104" i="3" s="1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AQ89" i="3"/>
  <c r="AO88" i="3"/>
  <c r="AH88" i="3"/>
  <c r="AA88" i="3"/>
  <c r="T88" i="3"/>
  <c r="M88" i="3"/>
  <c r="AQ87" i="3"/>
  <c r="AQ86" i="3"/>
  <c r="AQ85" i="3"/>
  <c r="AQ84" i="3"/>
  <c r="AQ83" i="3"/>
  <c r="AQ82" i="3"/>
  <c r="AQ81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8" i="3"/>
  <c r="AQ67" i="3"/>
  <c r="G66" i="3"/>
  <c r="AQ65" i="3"/>
  <c r="AQ64" i="3"/>
  <c r="AP64" i="3"/>
  <c r="AI64" i="3"/>
  <c r="AB64" i="3"/>
  <c r="U64" i="3"/>
  <c r="N64" i="3"/>
  <c r="F64" i="3"/>
  <c r="G63" i="3"/>
  <c r="G62" i="3"/>
  <c r="G61" i="3"/>
  <c r="G60" i="3"/>
  <c r="G59" i="3"/>
  <c r="G58" i="3"/>
  <c r="AQ57" i="3"/>
  <c r="AQ56" i="3"/>
  <c r="G55" i="3"/>
  <c r="G54" i="3"/>
  <c r="F53" i="3"/>
  <c r="F56" i="3" s="1"/>
  <c r="E53" i="3"/>
  <c r="AQ52" i="3"/>
  <c r="AQ51" i="3"/>
  <c r="AP51" i="3"/>
  <c r="AO51" i="3"/>
  <c r="AI51" i="3"/>
  <c r="AH51" i="3"/>
  <c r="AB51" i="3"/>
  <c r="AA51" i="3"/>
  <c r="U51" i="3"/>
  <c r="T51" i="3"/>
  <c r="N51" i="3"/>
  <c r="M51" i="3"/>
  <c r="F50" i="3"/>
  <c r="E50" i="3"/>
  <c r="F49" i="3"/>
  <c r="E49" i="3"/>
  <c r="G49" i="3" s="1"/>
  <c r="AQ48" i="3"/>
  <c r="G47" i="3"/>
  <c r="G46" i="3"/>
  <c r="AQ45" i="3"/>
  <c r="F45" i="3"/>
  <c r="F44" i="3"/>
  <c r="F51" i="3" s="1"/>
  <c r="E44" i="3"/>
  <c r="G44" i="3" s="1"/>
  <c r="G43" i="3"/>
  <c r="G42" i="3"/>
  <c r="G41" i="3"/>
  <c r="AQ40" i="3"/>
  <c r="AQ39" i="3"/>
  <c r="AO39" i="3"/>
  <c r="AH39" i="3"/>
  <c r="AA39" i="3"/>
  <c r="T39" i="3"/>
  <c r="M39" i="3"/>
  <c r="F39" i="3"/>
  <c r="AH38" i="3" s="1"/>
  <c r="G38" i="3"/>
  <c r="AH37" i="3"/>
  <c r="AA37" i="3"/>
  <c r="Z37" i="3" s="1"/>
  <c r="T37" i="3"/>
  <c r="M37" i="3"/>
  <c r="L37" i="3" s="1"/>
  <c r="G37" i="3"/>
  <c r="AG37" i="3" s="1"/>
  <c r="AQ36" i="3"/>
  <c r="AO36" i="3"/>
  <c r="AH36" i="3"/>
  <c r="T36" i="3"/>
  <c r="AH35" i="3"/>
  <c r="T35" i="3"/>
  <c r="G35" i="3"/>
  <c r="AH34" i="3"/>
  <c r="T34" i="3"/>
  <c r="S34" i="3" s="1"/>
  <c r="G34" i="3"/>
  <c r="AH33" i="3"/>
  <c r="AG33" i="3" s="1"/>
  <c r="T33" i="3"/>
  <c r="S33" i="3"/>
  <c r="G33" i="3"/>
  <c r="AH32" i="3"/>
  <c r="T32" i="3"/>
  <c r="G32" i="3"/>
  <c r="AQ31" i="3"/>
  <c r="AQ30" i="3"/>
  <c r="AQ29" i="3"/>
  <c r="AQ28" i="3"/>
  <c r="AQ27" i="3"/>
  <c r="AP27" i="3"/>
  <c r="AP39" i="3" s="1"/>
  <c r="AI27" i="3"/>
  <c r="AI39" i="3" s="1"/>
  <c r="AB27" i="3"/>
  <c r="AB39" i="3" s="1"/>
  <c r="U27" i="3"/>
  <c r="U39" i="3" s="1"/>
  <c r="N27" i="3"/>
  <c r="N39" i="3" s="1"/>
  <c r="G26" i="3"/>
  <c r="G25" i="3"/>
  <c r="G24" i="3"/>
  <c r="F23" i="3"/>
  <c r="G23" i="3" s="1"/>
  <c r="F22" i="3"/>
  <c r="G22" i="3" s="1"/>
  <c r="G21" i="3"/>
  <c r="G20" i="3"/>
  <c r="F19" i="3"/>
  <c r="G19" i="3" s="1"/>
  <c r="F18" i="3"/>
  <c r="AQ17" i="3"/>
  <c r="G16" i="3"/>
  <c r="G15" i="3"/>
  <c r="G14" i="3"/>
  <c r="G13" i="3"/>
  <c r="AQ12" i="3"/>
  <c r="F11" i="3"/>
  <c r="G11" i="3" s="1"/>
  <c r="G10" i="3"/>
  <c r="N2" i="3"/>
  <c r="G2" i="3"/>
  <c r="AO64" i="3" s="1"/>
  <c r="AO60" i="3" s="1"/>
  <c r="AQ123" i="2"/>
  <c r="AQ122" i="2"/>
  <c r="AQ121" i="2"/>
  <c r="AP121" i="2"/>
  <c r="AI121" i="2"/>
  <c r="AB121" i="2"/>
  <c r="U121" i="2"/>
  <c r="N121" i="2"/>
  <c r="G120" i="2"/>
  <c r="G119" i="2"/>
  <c r="G118" i="2"/>
  <c r="G117" i="2"/>
  <c r="AO116" i="2"/>
  <c r="AH116" i="2"/>
  <c r="AA116" i="2"/>
  <c r="T116" i="2"/>
  <c r="M116" i="2"/>
  <c r="E116" i="2"/>
  <c r="F115" i="2"/>
  <c r="G115" i="2" s="1"/>
  <c r="G114" i="2"/>
  <c r="G113" i="2"/>
  <c r="G121" i="2" s="1"/>
  <c r="G112" i="2"/>
  <c r="F111" i="2"/>
  <c r="G111" i="2" s="1"/>
  <c r="G110" i="2"/>
  <c r="G109" i="2"/>
  <c r="G108" i="2"/>
  <c r="G107" i="2"/>
  <c r="F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AQ92" i="2"/>
  <c r="AO91" i="2"/>
  <c r="AH91" i="2"/>
  <c r="AA91" i="2"/>
  <c r="T91" i="2"/>
  <c r="M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G69" i="2"/>
  <c r="AG69" i="2" s="1"/>
  <c r="AG91" i="2" s="1"/>
  <c r="AQ68" i="2"/>
  <c r="AQ67" i="2"/>
  <c r="AP67" i="2"/>
  <c r="AI67" i="2"/>
  <c r="AB67" i="2"/>
  <c r="U67" i="2"/>
  <c r="N67" i="2"/>
  <c r="F67" i="2"/>
  <c r="G66" i="2"/>
  <c r="G65" i="2"/>
  <c r="G64" i="2"/>
  <c r="G63" i="2"/>
  <c r="G62" i="2"/>
  <c r="G61" i="2"/>
  <c r="G67" i="2" s="1"/>
  <c r="AQ60" i="2"/>
  <c r="AQ59" i="2"/>
  <c r="G58" i="2"/>
  <c r="G57" i="2"/>
  <c r="F56" i="2"/>
  <c r="F59" i="2" s="1"/>
  <c r="E56" i="2"/>
  <c r="AQ55" i="2"/>
  <c r="AQ54" i="2"/>
  <c r="AP54" i="2"/>
  <c r="AO54" i="2"/>
  <c r="AI54" i="2"/>
  <c r="AH54" i="2"/>
  <c r="AB54" i="2"/>
  <c r="AA54" i="2"/>
  <c r="U54" i="2"/>
  <c r="T54" i="2"/>
  <c r="N54" i="2"/>
  <c r="M54" i="2"/>
  <c r="F53" i="2"/>
  <c r="E53" i="2"/>
  <c r="F52" i="2"/>
  <c r="E52" i="2"/>
  <c r="AQ51" i="2"/>
  <c r="G50" i="2"/>
  <c r="G49" i="2"/>
  <c r="AQ48" i="2"/>
  <c r="F48" i="2"/>
  <c r="F47" i="2"/>
  <c r="F54" i="2" s="1"/>
  <c r="AH49" i="2" s="1"/>
  <c r="AG49" i="2" s="1"/>
  <c r="E47" i="2"/>
  <c r="T46" i="2"/>
  <c r="G46" i="2"/>
  <c r="G45" i="2"/>
  <c r="G44" i="2"/>
  <c r="AQ43" i="2"/>
  <c r="AQ42" i="2"/>
  <c r="AO42" i="2"/>
  <c r="AH42" i="2"/>
  <c r="AA42" i="2"/>
  <c r="T42" i="2"/>
  <c r="M42" i="2"/>
  <c r="F42" i="2"/>
  <c r="AH38" i="2" s="1"/>
  <c r="M41" i="2"/>
  <c r="G41" i="2"/>
  <c r="AH40" i="2"/>
  <c r="G40" i="2"/>
  <c r="AQ39" i="2"/>
  <c r="AA39" i="2"/>
  <c r="M39" i="2"/>
  <c r="AA38" i="2"/>
  <c r="G38" i="2"/>
  <c r="Z38" i="2" s="1"/>
  <c r="AO37" i="2"/>
  <c r="M37" i="2"/>
  <c r="G37" i="2"/>
  <c r="AH36" i="2"/>
  <c r="M36" i="2"/>
  <c r="G36" i="2"/>
  <c r="AH35" i="2"/>
  <c r="M35" i="2"/>
  <c r="G35" i="2"/>
  <c r="AQ34" i="2"/>
  <c r="AQ33" i="2"/>
  <c r="AQ32" i="2"/>
  <c r="AQ31" i="2"/>
  <c r="AQ30" i="2"/>
  <c r="AQ29" i="2"/>
  <c r="AP29" i="2"/>
  <c r="AP42" i="2" s="1"/>
  <c r="AI29" i="2"/>
  <c r="AI42" i="2" s="1"/>
  <c r="AB29" i="2"/>
  <c r="AB42" i="2" s="1"/>
  <c r="U29" i="2"/>
  <c r="U42" i="2" s="1"/>
  <c r="N29" i="2"/>
  <c r="N42" i="2" s="1"/>
  <c r="G28" i="2"/>
  <c r="G27" i="2"/>
  <c r="G26" i="2"/>
  <c r="F25" i="2"/>
  <c r="G25" i="2" s="1"/>
  <c r="F24" i="2"/>
  <c r="G24" i="2" s="1"/>
  <c r="G23" i="2"/>
  <c r="G22" i="2"/>
  <c r="F21" i="2"/>
  <c r="G21" i="2" s="1"/>
  <c r="F20" i="2"/>
  <c r="G20" i="2" s="1"/>
  <c r="AQ19" i="2"/>
  <c r="G18" i="2"/>
  <c r="G17" i="2"/>
  <c r="G16" i="2"/>
  <c r="G15" i="2"/>
  <c r="AQ14" i="2"/>
  <c r="F13" i="2"/>
  <c r="G13" i="2" s="1"/>
  <c r="G12" i="2"/>
  <c r="N2" i="2"/>
  <c r="G2" i="2"/>
  <c r="T59" i="2" s="1"/>
  <c r="G2" i="1"/>
  <c r="T12" i="1" s="1"/>
  <c r="N2" i="1"/>
  <c r="G12" i="1"/>
  <c r="L12" i="1" s="1"/>
  <c r="M12" i="1"/>
  <c r="M13" i="1" s="1"/>
  <c r="AA12" i="1"/>
  <c r="AA13" i="1" s="1"/>
  <c r="AO12" i="1"/>
  <c r="AO13" i="1" s="1"/>
  <c r="F13" i="1"/>
  <c r="G13" i="1" s="1"/>
  <c r="T13" i="1"/>
  <c r="AQ14" i="1"/>
  <c r="G15" i="1"/>
  <c r="G16" i="1"/>
  <c r="G17" i="1"/>
  <c r="G18" i="1"/>
  <c r="AQ19" i="1"/>
  <c r="F20" i="1"/>
  <c r="G20" i="1" s="1"/>
  <c r="F21" i="1"/>
  <c r="G22" i="1"/>
  <c r="G23" i="1"/>
  <c r="F24" i="1"/>
  <c r="G24" i="1" s="1"/>
  <c r="F25" i="1"/>
  <c r="G25" i="1" s="1"/>
  <c r="G26" i="1"/>
  <c r="G27" i="1"/>
  <c r="G28" i="1"/>
  <c r="N29" i="1"/>
  <c r="U29" i="1"/>
  <c r="AB29" i="1"/>
  <c r="AI29" i="1"/>
  <c r="AP29" i="1"/>
  <c r="AP42" i="1" s="1"/>
  <c r="AQ29" i="1"/>
  <c r="AQ30" i="1"/>
  <c r="AQ31" i="1"/>
  <c r="AQ32" i="1"/>
  <c r="AQ33" i="1"/>
  <c r="AQ34" i="1"/>
  <c r="G35" i="1"/>
  <c r="G36" i="1"/>
  <c r="G37" i="1"/>
  <c r="G38" i="1"/>
  <c r="AQ39" i="1"/>
  <c r="G40" i="1"/>
  <c r="G41" i="1"/>
  <c r="F42" i="1"/>
  <c r="M42" i="1"/>
  <c r="M41" i="1" s="1"/>
  <c r="L41" i="1" s="1"/>
  <c r="N42" i="1"/>
  <c r="T42" i="1"/>
  <c r="T39" i="1" s="1"/>
  <c r="U42" i="1"/>
  <c r="AA42" i="1"/>
  <c r="AA41" i="1" s="1"/>
  <c r="Z41" i="1" s="1"/>
  <c r="AB42" i="1"/>
  <c r="AH42" i="1"/>
  <c r="AH40" i="1" s="1"/>
  <c r="AI42" i="1"/>
  <c r="AO42" i="1"/>
  <c r="AO41" i="1" s="1"/>
  <c r="AN41" i="1" s="1"/>
  <c r="AQ42" i="1"/>
  <c r="AQ43" i="1"/>
  <c r="G44" i="1"/>
  <c r="G45" i="1"/>
  <c r="G46" i="1"/>
  <c r="E47" i="1"/>
  <c r="G47" i="1" s="1"/>
  <c r="F47" i="1"/>
  <c r="F48" i="1"/>
  <c r="AQ48" i="1"/>
  <c r="G49" i="1"/>
  <c r="G50" i="1"/>
  <c r="AQ51" i="1"/>
  <c r="E52" i="1"/>
  <c r="F52" i="1"/>
  <c r="E53" i="1"/>
  <c r="F53" i="1"/>
  <c r="F54" i="1" s="1"/>
  <c r="M54" i="1"/>
  <c r="N54" i="1"/>
  <c r="T54" i="1"/>
  <c r="U54" i="1"/>
  <c r="AA54" i="1"/>
  <c r="AB54" i="1"/>
  <c r="AH54" i="1"/>
  <c r="AI54" i="1"/>
  <c r="AO54" i="1"/>
  <c r="AO53" i="1" s="1"/>
  <c r="AP54" i="1"/>
  <c r="AQ54" i="1"/>
  <c r="AQ55" i="1"/>
  <c r="E56" i="1"/>
  <c r="F56" i="1"/>
  <c r="G57" i="1"/>
  <c r="G58" i="1"/>
  <c r="F59" i="1"/>
  <c r="AQ59" i="1"/>
  <c r="AQ60" i="1"/>
  <c r="G61" i="1"/>
  <c r="G62" i="1"/>
  <c r="G63" i="1"/>
  <c r="G64" i="1"/>
  <c r="G65" i="1"/>
  <c r="G66" i="1"/>
  <c r="F67" i="1"/>
  <c r="M67" i="1" s="1"/>
  <c r="M66" i="1" s="1"/>
  <c r="N67" i="1"/>
  <c r="T67" i="1"/>
  <c r="T63" i="1" s="1"/>
  <c r="U67" i="1"/>
  <c r="AB67" i="1"/>
  <c r="AH67" i="1"/>
  <c r="AI67" i="1"/>
  <c r="AP67" i="1"/>
  <c r="AQ67" i="1"/>
  <c r="AQ68" i="1"/>
  <c r="G69" i="1"/>
  <c r="S69" i="1"/>
  <c r="S91" i="1" s="1"/>
  <c r="AG69" i="1"/>
  <c r="AG91" i="1" s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M91" i="1"/>
  <c r="T91" i="1"/>
  <c r="AA91" i="1"/>
  <c r="AH91" i="1"/>
  <c r="AO91" i="1"/>
  <c r="AQ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F107" i="1"/>
  <c r="G107" i="1"/>
  <c r="G108" i="1"/>
  <c r="G109" i="1"/>
  <c r="G110" i="1"/>
  <c r="F111" i="1"/>
  <c r="G111" i="1" s="1"/>
  <c r="G112" i="1"/>
  <c r="G113" i="1"/>
  <c r="G114" i="1"/>
  <c r="F115" i="1"/>
  <c r="G115" i="1" s="1"/>
  <c r="E116" i="1"/>
  <c r="G116" i="1"/>
  <c r="L116" i="1" s="1"/>
  <c r="M116" i="1"/>
  <c r="T116" i="1"/>
  <c r="Z116" i="1"/>
  <c r="AA116" i="1"/>
  <c r="AH116" i="1"/>
  <c r="AO116" i="1"/>
  <c r="G117" i="1"/>
  <c r="G118" i="1"/>
  <c r="G119" i="1"/>
  <c r="G120" i="1"/>
  <c r="G121" i="1"/>
  <c r="N121" i="1"/>
  <c r="U121" i="1"/>
  <c r="AB121" i="1"/>
  <c r="AI121" i="1"/>
  <c r="AP121" i="1"/>
  <c r="AQ121" i="1"/>
  <c r="AQ122" i="1"/>
  <c r="AQ123" i="1"/>
  <c r="AH49" i="1" l="1"/>
  <c r="AG49" i="1" s="1"/>
  <c r="AH39" i="1"/>
  <c r="T38" i="1"/>
  <c r="S38" i="1" s="1"/>
  <c r="T37" i="1"/>
  <c r="AH36" i="1"/>
  <c r="AH35" i="1"/>
  <c r="AG35" i="1" s="1"/>
  <c r="G52" i="1"/>
  <c r="AH38" i="1"/>
  <c r="AH37" i="1"/>
  <c r="AG37" i="1" s="1"/>
  <c r="T36" i="1"/>
  <c r="S36" i="1" s="1"/>
  <c r="T35" i="1"/>
  <c r="AG116" i="4"/>
  <c r="AN116" i="4"/>
  <c r="L116" i="4"/>
  <c r="Z116" i="4"/>
  <c r="AH12" i="4"/>
  <c r="AH13" i="4" s="1"/>
  <c r="S35" i="4"/>
  <c r="T39" i="4"/>
  <c r="AA39" i="4"/>
  <c r="F54" i="4"/>
  <c r="S69" i="4"/>
  <c r="AN69" i="4"/>
  <c r="AN91" i="4" s="1"/>
  <c r="AG12" i="4"/>
  <c r="T12" i="4"/>
  <c r="T13" i="4" s="1"/>
  <c r="AG35" i="4"/>
  <c r="S38" i="4"/>
  <c r="AG40" i="4"/>
  <c r="AG41" i="4"/>
  <c r="T41" i="4"/>
  <c r="T67" i="4"/>
  <c r="L69" i="4"/>
  <c r="L91" i="4" s="1"/>
  <c r="Z69" i="4"/>
  <c r="Z91" i="4" s="1"/>
  <c r="AG38" i="3"/>
  <c r="G50" i="3"/>
  <c r="T38" i="3"/>
  <c r="S38" i="3" s="1"/>
  <c r="G52" i="2"/>
  <c r="AG40" i="2"/>
  <c r="T40" i="2"/>
  <c r="S40" i="2" s="1"/>
  <c r="AO38" i="2"/>
  <c r="Z69" i="2"/>
  <c r="Z91" i="2" s="1"/>
  <c r="L36" i="2"/>
  <c r="M40" i="2"/>
  <c r="AH41" i="2"/>
  <c r="AA36" i="2"/>
  <c r="AO44" i="2"/>
  <c r="L69" i="2"/>
  <c r="AN69" i="2"/>
  <c r="AN91" i="2" s="1"/>
  <c r="F73" i="8"/>
  <c r="AN12" i="1"/>
  <c r="Z12" i="1"/>
  <c r="AA48" i="2"/>
  <c r="M64" i="1"/>
  <c r="AO48" i="1"/>
  <c r="M51" i="1"/>
  <c r="AA53" i="1"/>
  <c r="M50" i="1"/>
  <c r="AA47" i="1"/>
  <c r="Z47" i="1" s="1"/>
  <c r="S37" i="1"/>
  <c r="S35" i="1"/>
  <c r="G51" i="5"/>
  <c r="G119" i="5"/>
  <c r="AH51" i="5"/>
  <c r="T51" i="5"/>
  <c r="AO50" i="5"/>
  <c r="AA48" i="5"/>
  <c r="AA47" i="5"/>
  <c r="M50" i="5"/>
  <c r="AA49" i="5"/>
  <c r="AO46" i="5"/>
  <c r="T12" i="5"/>
  <c r="T13" i="5" s="1"/>
  <c r="AH39" i="5"/>
  <c r="S67" i="5"/>
  <c r="S89" i="5" s="1"/>
  <c r="Z114" i="5"/>
  <c r="M12" i="5"/>
  <c r="M13" i="5" s="1"/>
  <c r="AO12" i="5"/>
  <c r="AO13" i="5" s="1"/>
  <c r="F28" i="5"/>
  <c r="Z67" i="5"/>
  <c r="Z89" i="5" s="1"/>
  <c r="L114" i="5"/>
  <c r="AN114" i="5"/>
  <c r="AH43" i="3"/>
  <c r="AG43" i="3" s="1"/>
  <c r="T47" i="3"/>
  <c r="S47" i="3" s="1"/>
  <c r="T45" i="3"/>
  <c r="AA38" i="3"/>
  <c r="Z38" i="3" s="1"/>
  <c r="M46" i="3"/>
  <c r="AA50" i="3"/>
  <c r="Z50" i="3" s="1"/>
  <c r="AO48" i="3"/>
  <c r="F118" i="3"/>
  <c r="S37" i="3"/>
  <c r="AO37" i="3"/>
  <c r="AN37" i="3" s="1"/>
  <c r="AQ37" i="3" s="1"/>
  <c r="F52" i="10"/>
  <c r="F55" i="10" s="1"/>
  <c r="S15" i="9"/>
  <c r="E15" i="9"/>
  <c r="L14" i="9"/>
  <c r="E14" i="9"/>
  <c r="L15" i="9"/>
  <c r="S14" i="9"/>
  <c r="F80" i="9"/>
  <c r="F77" i="9"/>
  <c r="E17" i="9"/>
  <c r="E72" i="9"/>
  <c r="L17" i="9"/>
  <c r="L72" i="9"/>
  <c r="S14" i="8"/>
  <c r="E14" i="8"/>
  <c r="L13" i="8"/>
  <c r="S13" i="8"/>
  <c r="E13" i="8"/>
  <c r="L14" i="8"/>
  <c r="F79" i="8"/>
  <c r="F76" i="8"/>
  <c r="E16" i="8"/>
  <c r="E71" i="8"/>
  <c r="L16" i="8"/>
  <c r="L71" i="8"/>
  <c r="S14" i="7"/>
  <c r="E14" i="7"/>
  <c r="L13" i="7"/>
  <c r="E13" i="7"/>
  <c r="L14" i="7"/>
  <c r="S13" i="7"/>
  <c r="F79" i="7"/>
  <c r="F76" i="7"/>
  <c r="E16" i="7"/>
  <c r="E71" i="7"/>
  <c r="L16" i="7"/>
  <c r="L71" i="7"/>
  <c r="AH13" i="5"/>
  <c r="AG12" i="5"/>
  <c r="AN12" i="5"/>
  <c r="L12" i="5"/>
  <c r="AA12" i="5"/>
  <c r="AA13" i="5" s="1"/>
  <c r="G13" i="5"/>
  <c r="M33" i="5"/>
  <c r="M34" i="5"/>
  <c r="M35" i="5"/>
  <c r="M36" i="5"/>
  <c r="L36" i="5" s="1"/>
  <c r="AG39" i="5"/>
  <c r="AO28" i="5"/>
  <c r="AA28" i="5"/>
  <c r="M28" i="5"/>
  <c r="AG38" i="5"/>
  <c r="T39" i="5"/>
  <c r="S39" i="5" s="1"/>
  <c r="T37" i="5"/>
  <c r="T36" i="5"/>
  <c r="T35" i="5"/>
  <c r="T34" i="5"/>
  <c r="S34" i="5" s="1"/>
  <c r="T33" i="5"/>
  <c r="S12" i="5"/>
  <c r="G28" i="5"/>
  <c r="G40" i="5" s="1"/>
  <c r="AH28" i="5"/>
  <c r="AO33" i="5"/>
  <c r="AO34" i="5"/>
  <c r="AN34" i="5" s="1"/>
  <c r="AO35" i="5"/>
  <c r="T38" i="5"/>
  <c r="S38" i="5" s="1"/>
  <c r="T28" i="5"/>
  <c r="AN33" i="5"/>
  <c r="AN35" i="5"/>
  <c r="AN36" i="5"/>
  <c r="AO39" i="5"/>
  <c r="AN39" i="5" s="1"/>
  <c r="AA39" i="5"/>
  <c r="Z39" i="5" s="1"/>
  <c r="M39" i="5"/>
  <c r="L39" i="5" s="1"/>
  <c r="AO38" i="5"/>
  <c r="AN38" i="5" s="1"/>
  <c r="AA38" i="5"/>
  <c r="Z38" i="5" s="1"/>
  <c r="M38" i="5"/>
  <c r="L38" i="5" s="1"/>
  <c r="AO37" i="5"/>
  <c r="M37" i="5"/>
  <c r="AH36" i="5"/>
  <c r="AH35" i="5"/>
  <c r="AG35" i="5" s="1"/>
  <c r="AH34" i="5"/>
  <c r="AG34" i="5" s="1"/>
  <c r="AH33" i="5"/>
  <c r="AG33" i="5" s="1"/>
  <c r="AH37" i="5"/>
  <c r="G50" i="5"/>
  <c r="AO65" i="5"/>
  <c r="AA65" i="5"/>
  <c r="M65" i="5"/>
  <c r="S33" i="5"/>
  <c r="S35" i="5"/>
  <c r="S36" i="5"/>
  <c r="AG36" i="5"/>
  <c r="T42" i="5"/>
  <c r="S42" i="5" s="1"/>
  <c r="AO47" i="5"/>
  <c r="AO48" i="5"/>
  <c r="T49" i="5"/>
  <c r="T45" i="5"/>
  <c r="S45" i="5" s="1"/>
  <c r="T50" i="5"/>
  <c r="T48" i="5"/>
  <c r="S48" i="5" s="1"/>
  <c r="T47" i="5"/>
  <c r="T46" i="5"/>
  <c r="T44" i="5"/>
  <c r="S44" i="5" s="1"/>
  <c r="T43" i="5"/>
  <c r="S43" i="5" s="1"/>
  <c r="AH46" i="5"/>
  <c r="AH45" i="5"/>
  <c r="AG45" i="5" s="1"/>
  <c r="AH50" i="5"/>
  <c r="AH48" i="5"/>
  <c r="AG48" i="5" s="1"/>
  <c r="AH47" i="5"/>
  <c r="AH49" i="5"/>
  <c r="AH44" i="5"/>
  <c r="AG44" i="5" s="1"/>
  <c r="AH43" i="5"/>
  <c r="AG43" i="5" s="1"/>
  <c r="AH42" i="5"/>
  <c r="AH65" i="5"/>
  <c r="G52" i="5"/>
  <c r="AN47" i="5"/>
  <c r="AN48" i="5"/>
  <c r="AO44" i="5"/>
  <c r="AN44" i="5" s="1"/>
  <c r="AA44" i="5"/>
  <c r="M44" i="5"/>
  <c r="AO43" i="5"/>
  <c r="AN43" i="5" s="1"/>
  <c r="AA43" i="5"/>
  <c r="Z43" i="5" s="1"/>
  <c r="M43" i="5"/>
  <c r="AO42" i="5"/>
  <c r="AN42" i="5" s="1"/>
  <c r="AA42" i="5"/>
  <c r="Z42" i="5" s="1"/>
  <c r="M42" i="5"/>
  <c r="L42" i="5" s="1"/>
  <c r="AO51" i="5"/>
  <c r="AA51" i="5"/>
  <c r="M51" i="5"/>
  <c r="AO49" i="5"/>
  <c r="M49" i="5"/>
  <c r="AA46" i="5"/>
  <c r="AO45" i="5"/>
  <c r="AN45" i="5" s="1"/>
  <c r="AA45" i="5"/>
  <c r="Z45" i="5" s="1"/>
  <c r="M45" i="5"/>
  <c r="L45" i="5" s="1"/>
  <c r="AA57" i="5"/>
  <c r="T57" i="5"/>
  <c r="AO57" i="5"/>
  <c r="M57" i="5"/>
  <c r="G65" i="5"/>
  <c r="T65" i="5"/>
  <c r="L33" i="5"/>
  <c r="Z33" i="5"/>
  <c r="L34" i="5"/>
  <c r="Z34" i="5"/>
  <c r="L35" i="5"/>
  <c r="Z35" i="5"/>
  <c r="Z36" i="5"/>
  <c r="AG42" i="5"/>
  <c r="M46" i="5"/>
  <c r="M47" i="5"/>
  <c r="M48" i="5"/>
  <c r="AA50" i="5"/>
  <c r="AG51" i="5"/>
  <c r="S51" i="5"/>
  <c r="AN51" i="5"/>
  <c r="Z51" i="5"/>
  <c r="L51" i="5"/>
  <c r="AH57" i="5"/>
  <c r="S47" i="5"/>
  <c r="AG47" i="5"/>
  <c r="L43" i="5"/>
  <c r="L44" i="5"/>
  <c r="Z44" i="5"/>
  <c r="AG67" i="5"/>
  <c r="AG89" i="5" s="1"/>
  <c r="L47" i="5"/>
  <c r="Z47" i="5"/>
  <c r="L48" i="5"/>
  <c r="Z48" i="5"/>
  <c r="L67" i="5"/>
  <c r="F119" i="5"/>
  <c r="S114" i="5"/>
  <c r="AQ114" i="5" s="1"/>
  <c r="AQ69" i="4"/>
  <c r="S91" i="4"/>
  <c r="AQ91" i="4" s="1"/>
  <c r="G13" i="4"/>
  <c r="G29" i="4"/>
  <c r="G42" i="4" s="1"/>
  <c r="Z36" i="4"/>
  <c r="L36" i="4"/>
  <c r="S36" i="4"/>
  <c r="AG36" i="4"/>
  <c r="AO46" i="4"/>
  <c r="AN46" i="4" s="1"/>
  <c r="AA46" i="4"/>
  <c r="M46" i="4"/>
  <c r="AO45" i="4"/>
  <c r="AA45" i="4"/>
  <c r="Z45" i="4" s="1"/>
  <c r="M45" i="4"/>
  <c r="AO44" i="4"/>
  <c r="AA44" i="4"/>
  <c r="M44" i="4"/>
  <c r="L44" i="4" s="1"/>
  <c r="AO53" i="4"/>
  <c r="AA53" i="4"/>
  <c r="Z53" i="4" s="1"/>
  <c r="M53" i="4"/>
  <c r="AO51" i="4"/>
  <c r="M51" i="4"/>
  <c r="AA48" i="4"/>
  <c r="T53" i="4"/>
  <c r="AA52" i="4"/>
  <c r="AO49" i="4"/>
  <c r="AN49" i="4" s="1"/>
  <c r="M49" i="4"/>
  <c r="L49" i="4" s="1"/>
  <c r="T48" i="4"/>
  <c r="AH46" i="4"/>
  <c r="AG46" i="4" s="1"/>
  <c r="T45" i="4"/>
  <c r="AH44" i="4"/>
  <c r="AG44" i="4" s="1"/>
  <c r="AO50" i="4"/>
  <c r="AN50" i="4" s="1"/>
  <c r="M50" i="4"/>
  <c r="L50" i="4" s="1"/>
  <c r="M48" i="4"/>
  <c r="AA47" i="4"/>
  <c r="AH53" i="4"/>
  <c r="AO52" i="4"/>
  <c r="M52" i="4"/>
  <c r="AH51" i="4"/>
  <c r="AA49" i="4"/>
  <c r="Z49" i="4" s="1"/>
  <c r="T46" i="4"/>
  <c r="S46" i="4" s="1"/>
  <c r="AH45" i="4"/>
  <c r="AG45" i="4" s="1"/>
  <c r="T44" i="4"/>
  <c r="S44" i="4" s="1"/>
  <c r="T66" i="4"/>
  <c r="T64" i="4"/>
  <c r="S64" i="4" s="1"/>
  <c r="T62" i="4"/>
  <c r="T65" i="4"/>
  <c r="T63" i="4"/>
  <c r="T61" i="4"/>
  <c r="S61" i="4" s="1"/>
  <c r="AN12" i="4"/>
  <c r="AO38" i="4"/>
  <c r="AO41" i="4"/>
  <c r="AN41" i="4" s="1"/>
  <c r="AO36" i="4"/>
  <c r="AN36" i="4" s="1"/>
  <c r="AO40" i="4"/>
  <c r="AN40" i="4" s="1"/>
  <c r="AO35" i="4"/>
  <c r="AN35" i="4" s="1"/>
  <c r="AO48" i="4"/>
  <c r="AO58" i="4"/>
  <c r="AN58" i="4" s="1"/>
  <c r="AO57" i="4"/>
  <c r="AO56" i="4"/>
  <c r="AN56" i="4" s="1"/>
  <c r="F29" i="4"/>
  <c r="AN37" i="4"/>
  <c r="Z37" i="4"/>
  <c r="L37" i="4"/>
  <c r="AN45" i="4"/>
  <c r="L45" i="4"/>
  <c r="G47" i="4"/>
  <c r="AG53" i="4"/>
  <c r="S53" i="4"/>
  <c r="AA59" i="4"/>
  <c r="T59" i="4"/>
  <c r="S62" i="4"/>
  <c r="S66" i="4"/>
  <c r="AH67" i="4"/>
  <c r="AG37" i="4"/>
  <c r="AN38" i="4"/>
  <c r="L38" i="4"/>
  <c r="AA38" i="4"/>
  <c r="Z38" i="4" s="1"/>
  <c r="S45" i="4"/>
  <c r="L53" i="4"/>
  <c r="AQ53" i="4" s="1"/>
  <c r="AN53" i="4"/>
  <c r="AN57" i="4"/>
  <c r="M59" i="4"/>
  <c r="F121" i="4"/>
  <c r="M12" i="4"/>
  <c r="M13" i="4" s="1"/>
  <c r="AA12" i="4"/>
  <c r="AA13" i="4" s="1"/>
  <c r="L35" i="4"/>
  <c r="AA35" i="4"/>
  <c r="Z35" i="4" s="1"/>
  <c r="S37" i="4"/>
  <c r="AA40" i="4"/>
  <c r="Z40" i="4" s="1"/>
  <c r="AN44" i="4"/>
  <c r="Z44" i="4"/>
  <c r="Z46" i="4"/>
  <c r="L46" i="4"/>
  <c r="G52" i="4"/>
  <c r="T51" i="4"/>
  <c r="T47" i="4"/>
  <c r="T52" i="4"/>
  <c r="T50" i="4"/>
  <c r="S50" i="4" s="1"/>
  <c r="T49" i="4"/>
  <c r="S49" i="4" s="1"/>
  <c r="AH48" i="4"/>
  <c r="AH47" i="4"/>
  <c r="AH52" i="4"/>
  <c r="AH50" i="4"/>
  <c r="AG50" i="4" s="1"/>
  <c r="AH49" i="4"/>
  <c r="AG49" i="4" s="1"/>
  <c r="AH59" i="4"/>
  <c r="S63" i="4"/>
  <c r="S65" i="4"/>
  <c r="AO67" i="4"/>
  <c r="AA67" i="4"/>
  <c r="M67" i="4"/>
  <c r="S40" i="4"/>
  <c r="AQ40" i="4" s="1"/>
  <c r="S41" i="4"/>
  <c r="AQ41" i="4" s="1"/>
  <c r="S116" i="4"/>
  <c r="AQ116" i="4" s="1"/>
  <c r="G27" i="3"/>
  <c r="G39" i="3" s="1"/>
  <c r="AO35" i="3"/>
  <c r="AN35" i="3" s="1"/>
  <c r="AO34" i="3"/>
  <c r="AO33" i="3"/>
  <c r="AN33" i="3" s="1"/>
  <c r="AO32" i="3"/>
  <c r="AN32" i="3" s="1"/>
  <c r="G51" i="3"/>
  <c r="T10" i="3"/>
  <c r="AO10" i="3"/>
  <c r="AO11" i="3" s="1"/>
  <c r="AN10" i="3"/>
  <c r="AA10" i="3"/>
  <c r="AA11" i="3" s="1"/>
  <c r="M35" i="3"/>
  <c r="M34" i="3"/>
  <c r="M33" i="3"/>
  <c r="L33" i="3" s="1"/>
  <c r="M32" i="3"/>
  <c r="M36" i="3"/>
  <c r="L46" i="3"/>
  <c r="AO49" i="3"/>
  <c r="AN49" i="3" s="1"/>
  <c r="AH90" i="3"/>
  <c r="AH94" i="3"/>
  <c r="AH98" i="3"/>
  <c r="AH102" i="3"/>
  <c r="AH107" i="3"/>
  <c r="M10" i="3"/>
  <c r="M11" i="3" s="1"/>
  <c r="F27" i="3"/>
  <c r="G18" i="3"/>
  <c r="M38" i="3"/>
  <c r="L38" i="3" s="1"/>
  <c r="AO38" i="3"/>
  <c r="AN38" i="3" s="1"/>
  <c r="M45" i="3"/>
  <c r="T56" i="3"/>
  <c r="G64" i="3"/>
  <c r="AH105" i="3"/>
  <c r="AO63" i="3"/>
  <c r="AO61" i="3"/>
  <c r="AO59" i="3"/>
  <c r="AN59" i="3" s="1"/>
  <c r="AO62" i="3"/>
  <c r="T50" i="3"/>
  <c r="AH48" i="3"/>
  <c r="AH47" i="3"/>
  <c r="T41" i="3"/>
  <c r="S41" i="3" s="1"/>
  <c r="T49" i="3"/>
  <c r="S49" i="3" s="1"/>
  <c r="T46" i="3"/>
  <c r="S46" i="3" s="1"/>
  <c r="T43" i="3"/>
  <c r="S43" i="3" s="1"/>
  <c r="T42" i="3"/>
  <c r="S42" i="3" s="1"/>
  <c r="AH56" i="3"/>
  <c r="AN60" i="3"/>
  <c r="AP122" i="3"/>
  <c r="AA117" i="3"/>
  <c r="Z117" i="3" s="1"/>
  <c r="M117" i="3"/>
  <c r="L117" i="3" s="1"/>
  <c r="AA116" i="3"/>
  <c r="Z116" i="3" s="1"/>
  <c r="M116" i="3"/>
  <c r="AA115" i="3"/>
  <c r="Z115" i="3" s="1"/>
  <c r="M115" i="3"/>
  <c r="L115" i="3" s="1"/>
  <c r="AA114" i="3"/>
  <c r="Z114" i="3" s="1"/>
  <c r="M114" i="3"/>
  <c r="L114" i="3" s="1"/>
  <c r="AH111" i="3"/>
  <c r="AG111" i="3" s="1"/>
  <c r="T111" i="3"/>
  <c r="S111" i="3" s="1"/>
  <c r="AH110" i="3"/>
  <c r="AG110" i="3" s="1"/>
  <c r="T110" i="3"/>
  <c r="S110" i="3" s="1"/>
  <c r="AH109" i="3"/>
  <c r="AG109" i="3" s="1"/>
  <c r="T109" i="3"/>
  <c r="S109" i="3" s="1"/>
  <c r="AH108" i="3"/>
  <c r="T108" i="3"/>
  <c r="S108" i="3" s="1"/>
  <c r="AA103" i="3"/>
  <c r="M103" i="3"/>
  <c r="L103" i="3" s="1"/>
  <c r="AA102" i="3"/>
  <c r="M102" i="3"/>
  <c r="AA101" i="3"/>
  <c r="M101" i="3"/>
  <c r="L101" i="3" s="1"/>
  <c r="AA100" i="3"/>
  <c r="Z100" i="3" s="1"/>
  <c r="M100" i="3"/>
  <c r="AA99" i="3"/>
  <c r="Z99" i="3" s="1"/>
  <c r="M99" i="3"/>
  <c r="L99" i="3" s="1"/>
  <c r="AA98" i="3"/>
  <c r="M98" i="3"/>
  <c r="AA97" i="3"/>
  <c r="M97" i="3"/>
  <c r="L97" i="3" s="1"/>
  <c r="AA96" i="3"/>
  <c r="Z96" i="3" s="1"/>
  <c r="M96" i="3"/>
  <c r="AA95" i="3"/>
  <c r="M95" i="3"/>
  <c r="L95" i="3" s="1"/>
  <c r="AA94" i="3"/>
  <c r="M94" i="3"/>
  <c r="AA93" i="3"/>
  <c r="Z93" i="3" s="1"/>
  <c r="M93" i="3"/>
  <c r="L93" i="3" s="1"/>
  <c r="AA92" i="3"/>
  <c r="Z92" i="3" s="1"/>
  <c r="M92" i="3"/>
  <c r="AA91" i="3"/>
  <c r="M91" i="3"/>
  <c r="L91" i="3" s="1"/>
  <c r="AA90" i="3"/>
  <c r="M90" i="3"/>
  <c r="AH117" i="3"/>
  <c r="AG117" i="3" s="1"/>
  <c r="T116" i="3"/>
  <c r="S116" i="3" s="1"/>
  <c r="T112" i="3"/>
  <c r="S112" i="3" s="1"/>
  <c r="M111" i="3"/>
  <c r="L111" i="3" s="1"/>
  <c r="M109" i="3"/>
  <c r="L109" i="3" s="1"/>
  <c r="M107" i="3"/>
  <c r="AH106" i="3"/>
  <c r="AG106" i="3" s="1"/>
  <c r="T105" i="3"/>
  <c r="AA104" i="3"/>
  <c r="Z104" i="3" s="1"/>
  <c r="AH103" i="3"/>
  <c r="AG103" i="3" s="1"/>
  <c r="T102" i="3"/>
  <c r="AH99" i="3"/>
  <c r="AG99" i="3" s="1"/>
  <c r="T98" i="3"/>
  <c r="S98" i="3" s="1"/>
  <c r="AH95" i="3"/>
  <c r="AG95" i="3" s="1"/>
  <c r="T94" i="3"/>
  <c r="AH91" i="3"/>
  <c r="AG91" i="3" s="1"/>
  <c r="T90" i="3"/>
  <c r="AH115" i="3"/>
  <c r="AG115" i="3" s="1"/>
  <c r="T114" i="3"/>
  <c r="AA112" i="3"/>
  <c r="Z112" i="3" s="1"/>
  <c r="M110" i="3"/>
  <c r="L110" i="3" s="1"/>
  <c r="M108" i="3"/>
  <c r="L108" i="3" s="1"/>
  <c r="T107" i="3"/>
  <c r="S107" i="3" s="1"/>
  <c r="AA106" i="3"/>
  <c r="M105" i="3"/>
  <c r="L105" i="3" s="1"/>
  <c r="AH104" i="3"/>
  <c r="AH101" i="3"/>
  <c r="AG101" i="3" s="1"/>
  <c r="T100" i="3"/>
  <c r="AH97" i="3"/>
  <c r="AG97" i="3" s="1"/>
  <c r="T96" i="3"/>
  <c r="AH93" i="3"/>
  <c r="AG93" i="3" s="1"/>
  <c r="T92" i="3"/>
  <c r="AA110" i="3"/>
  <c r="Z110" i="3" s="1"/>
  <c r="AA108" i="3"/>
  <c r="M106" i="3"/>
  <c r="AA105" i="3"/>
  <c r="T101" i="3"/>
  <c r="S101" i="3" s="1"/>
  <c r="AH100" i="3"/>
  <c r="AG100" i="3" s="1"/>
  <c r="T97" i="3"/>
  <c r="AH96" i="3"/>
  <c r="T93" i="3"/>
  <c r="AH92" i="3"/>
  <c r="AG92" i="3" s="1"/>
  <c r="AH116" i="3"/>
  <c r="AH112" i="3"/>
  <c r="AG112" i="3" s="1"/>
  <c r="T106" i="3"/>
  <c r="S106" i="3" s="1"/>
  <c r="M104" i="3"/>
  <c r="T117" i="3"/>
  <c r="S117" i="3" s="1"/>
  <c r="AH114" i="3"/>
  <c r="AG114" i="3" s="1"/>
  <c r="M112" i="3"/>
  <c r="L112" i="3" s="1"/>
  <c r="AA111" i="3"/>
  <c r="Z111" i="3" s="1"/>
  <c r="F122" i="3"/>
  <c r="AH10" i="3"/>
  <c r="AH11" i="3" s="1"/>
  <c r="AG32" i="3"/>
  <c r="L32" i="3"/>
  <c r="S32" i="3"/>
  <c r="AA36" i="3"/>
  <c r="AA35" i="3"/>
  <c r="Z35" i="3" s="1"/>
  <c r="AA34" i="3"/>
  <c r="Z34" i="3" s="1"/>
  <c r="AA33" i="3"/>
  <c r="AA32" i="3"/>
  <c r="Z32" i="3" s="1"/>
  <c r="AH42" i="3"/>
  <c r="AG42" i="3" s="1"/>
  <c r="AO44" i="3"/>
  <c r="AN44" i="3" s="1"/>
  <c r="AO46" i="3"/>
  <c r="AN46" i="3" s="1"/>
  <c r="AO47" i="3"/>
  <c r="AN47" i="3" s="1"/>
  <c r="AH49" i="3"/>
  <c r="AG49" i="3" s="1"/>
  <c r="S50" i="3"/>
  <c r="M43" i="3"/>
  <c r="L43" i="3" s="1"/>
  <c r="M42" i="3"/>
  <c r="L42" i="3" s="1"/>
  <c r="M41" i="3"/>
  <c r="L41" i="3" s="1"/>
  <c r="M50" i="3"/>
  <c r="L50" i="3" s="1"/>
  <c r="M49" i="3"/>
  <c r="L49" i="3" s="1"/>
  <c r="M48" i="3"/>
  <c r="M47" i="3"/>
  <c r="M44" i="3"/>
  <c r="L44" i="3" s="1"/>
  <c r="AA43" i="3"/>
  <c r="AA42" i="3"/>
  <c r="Z42" i="3" s="1"/>
  <c r="AA41" i="3"/>
  <c r="Z41" i="3" s="1"/>
  <c r="AA49" i="3"/>
  <c r="Z49" i="3" s="1"/>
  <c r="AA46" i="3"/>
  <c r="Z46" i="3" s="1"/>
  <c r="AA44" i="3"/>
  <c r="Z44" i="3" s="1"/>
  <c r="AA48" i="3"/>
  <c r="AA47" i="3"/>
  <c r="AA45" i="3"/>
  <c r="AO43" i="3"/>
  <c r="AN43" i="3" s="1"/>
  <c r="AO42" i="3"/>
  <c r="AN42" i="3" s="1"/>
  <c r="AO41" i="3"/>
  <c r="AN41" i="3" s="1"/>
  <c r="AO45" i="3"/>
  <c r="AO50" i="3"/>
  <c r="AN50" i="3" s="1"/>
  <c r="G53" i="3"/>
  <c r="AO58" i="3"/>
  <c r="AN58" i="3" s="1"/>
  <c r="M64" i="3"/>
  <c r="T91" i="3"/>
  <c r="S91" i="3" s="1"/>
  <c r="T95" i="3"/>
  <c r="S95" i="3" s="1"/>
  <c r="T99" i="3"/>
  <c r="S99" i="3" s="1"/>
  <c r="T103" i="3"/>
  <c r="S103" i="3" s="1"/>
  <c r="AA107" i="3"/>
  <c r="S114" i="3"/>
  <c r="AN34" i="3"/>
  <c r="S35" i="3"/>
  <c r="AG35" i="3"/>
  <c r="AN61" i="3"/>
  <c r="AN62" i="3"/>
  <c r="Z66" i="3"/>
  <c r="Z88" i="3" s="1"/>
  <c r="AN66" i="3"/>
  <c r="AN88" i="3" s="1"/>
  <c r="L66" i="3"/>
  <c r="AG66" i="3"/>
  <c r="AG88" i="3" s="1"/>
  <c r="AG90" i="3"/>
  <c r="L90" i="3"/>
  <c r="L92" i="3"/>
  <c r="AG94" i="3"/>
  <c r="L94" i="3"/>
  <c r="S94" i="3"/>
  <c r="AG96" i="3"/>
  <c r="L96" i="3"/>
  <c r="Z97" i="3"/>
  <c r="AG98" i="3"/>
  <c r="L98" i="3"/>
  <c r="L100" i="3"/>
  <c r="Z101" i="3"/>
  <c r="AG102" i="3"/>
  <c r="L102" i="3"/>
  <c r="S102" i="3"/>
  <c r="L104" i="3"/>
  <c r="AG104" i="3"/>
  <c r="Z105" i="3"/>
  <c r="AG105" i="3"/>
  <c r="Z108" i="3"/>
  <c r="Z33" i="3"/>
  <c r="L34" i="3"/>
  <c r="AG34" i="3"/>
  <c r="L35" i="3"/>
  <c r="Z43" i="3"/>
  <c r="Z47" i="3"/>
  <c r="L47" i="3"/>
  <c r="AG47" i="3"/>
  <c r="T48" i="3"/>
  <c r="T44" i="3"/>
  <c r="S44" i="3" s="1"/>
  <c r="AH45" i="3"/>
  <c r="AH44" i="3"/>
  <c r="AG44" i="3" s="1"/>
  <c r="AH50" i="3"/>
  <c r="AG50" i="3" s="1"/>
  <c r="AH46" i="3"/>
  <c r="AG46" i="3" s="1"/>
  <c r="AH41" i="3"/>
  <c r="AG41" i="3" s="1"/>
  <c r="AN63" i="3"/>
  <c r="AH64" i="3"/>
  <c r="T64" i="3"/>
  <c r="AA64" i="3"/>
  <c r="S66" i="3"/>
  <c r="S88" i="3" s="1"/>
  <c r="Z90" i="3"/>
  <c r="S92" i="3"/>
  <c r="Z94" i="3"/>
  <c r="S96" i="3"/>
  <c r="Z98" i="3"/>
  <c r="S100" i="3"/>
  <c r="Z102" i="3"/>
  <c r="S105" i="3"/>
  <c r="AO56" i="3"/>
  <c r="M56" i="3"/>
  <c r="AA56" i="3"/>
  <c r="Z91" i="3"/>
  <c r="Z95" i="3"/>
  <c r="Z103" i="3"/>
  <c r="Z107" i="3"/>
  <c r="L107" i="3"/>
  <c r="AG107" i="3"/>
  <c r="AN113" i="3"/>
  <c r="Z113" i="3"/>
  <c r="L113" i="3"/>
  <c r="AG113" i="3"/>
  <c r="S113" i="3"/>
  <c r="AG116" i="3"/>
  <c r="L116" i="3"/>
  <c r="S93" i="3"/>
  <c r="S97" i="3"/>
  <c r="Z106" i="3"/>
  <c r="L106" i="3"/>
  <c r="AG108" i="3"/>
  <c r="G29" i="2"/>
  <c r="G42" i="2" s="1"/>
  <c r="AN38" i="2"/>
  <c r="T58" i="2"/>
  <c r="S58" i="2" s="1"/>
  <c r="T57" i="2"/>
  <c r="S57" i="2" s="1"/>
  <c r="T56" i="2"/>
  <c r="M12" i="2"/>
  <c r="AO12" i="2"/>
  <c r="AO45" i="2"/>
  <c r="AN45" i="2" s="1"/>
  <c r="AH46" i="2"/>
  <c r="M52" i="2"/>
  <c r="M50" i="2"/>
  <c r="L50" i="2" s="1"/>
  <c r="M49" i="2"/>
  <c r="L49" i="2" s="1"/>
  <c r="M48" i="2"/>
  <c r="M45" i="2"/>
  <c r="M47" i="2"/>
  <c r="M44" i="2"/>
  <c r="L44" i="2" s="1"/>
  <c r="AO52" i="2"/>
  <c r="AN52" i="2" s="1"/>
  <c r="AO50" i="2"/>
  <c r="AO49" i="2"/>
  <c r="AN49" i="2" s="1"/>
  <c r="AO48" i="2"/>
  <c r="AO53" i="2"/>
  <c r="AO46" i="2"/>
  <c r="AN46" i="2" s="1"/>
  <c r="G56" i="2"/>
  <c r="L91" i="2"/>
  <c r="T35" i="2"/>
  <c r="AO35" i="2"/>
  <c r="AN35" i="2" s="1"/>
  <c r="T36" i="2"/>
  <c r="AN37" i="2"/>
  <c r="AA37" i="2"/>
  <c r="Z37" i="2" s="1"/>
  <c r="AO39" i="2"/>
  <c r="AO40" i="2"/>
  <c r="AA41" i="2"/>
  <c r="Z41" i="2" s="1"/>
  <c r="T45" i="2"/>
  <c r="T47" i="2"/>
  <c r="L52" i="2"/>
  <c r="G53" i="2"/>
  <c r="M59" i="2"/>
  <c r="T12" i="2"/>
  <c r="AH12" i="2"/>
  <c r="F29" i="2"/>
  <c r="L37" i="2"/>
  <c r="AH37" i="2"/>
  <c r="AG37" i="2" s="1"/>
  <c r="T38" i="2"/>
  <c r="L41" i="2"/>
  <c r="AG41" i="2"/>
  <c r="M38" i="2"/>
  <c r="L38" i="2" s="1"/>
  <c r="AA44" i="2"/>
  <c r="Z44" i="2" s="1"/>
  <c r="M46" i="2"/>
  <c r="L46" i="2" s="1"/>
  <c r="AA47" i="2"/>
  <c r="AN50" i="2"/>
  <c r="AG35" i="2"/>
  <c r="S35" i="2"/>
  <c r="L35" i="2"/>
  <c r="T41" i="2"/>
  <c r="S41" i="2" s="1"/>
  <c r="T39" i="2"/>
  <c r="T37" i="2"/>
  <c r="S37" i="2" s="1"/>
  <c r="AO41" i="2"/>
  <c r="AN41" i="2" s="1"/>
  <c r="AO36" i="2"/>
  <c r="AN36" i="2" s="1"/>
  <c r="AN44" i="2"/>
  <c r="AH53" i="2"/>
  <c r="T53" i="2"/>
  <c r="T52" i="2"/>
  <c r="S52" i="2" s="1"/>
  <c r="AH51" i="2"/>
  <c r="T50" i="2"/>
  <c r="S50" i="2" s="1"/>
  <c r="T48" i="2"/>
  <c r="AH47" i="2"/>
  <c r="AH45" i="2"/>
  <c r="T44" i="2"/>
  <c r="S44" i="2" s="1"/>
  <c r="AH52" i="2"/>
  <c r="T51" i="2"/>
  <c r="AH50" i="2"/>
  <c r="AG50" i="2" s="1"/>
  <c r="T49" i="2"/>
  <c r="S49" i="2" s="1"/>
  <c r="AH44" i="2"/>
  <c r="AG44" i="2" s="1"/>
  <c r="AO47" i="2"/>
  <c r="AH48" i="2"/>
  <c r="M51" i="2"/>
  <c r="AG52" i="2"/>
  <c r="M53" i="2"/>
  <c r="AO67" i="2"/>
  <c r="AA67" i="2"/>
  <c r="M67" i="2"/>
  <c r="AA12" i="2"/>
  <c r="AG38" i="2"/>
  <c r="S38" i="2"/>
  <c r="AA40" i="2"/>
  <c r="Z40" i="2" s="1"/>
  <c r="AA35" i="2"/>
  <c r="Z35" i="2" s="1"/>
  <c r="AG45" i="2"/>
  <c r="S45" i="2"/>
  <c r="L45" i="2"/>
  <c r="G47" i="2"/>
  <c r="G54" i="2" s="1"/>
  <c r="AO51" i="2"/>
  <c r="AA52" i="2"/>
  <c r="Z52" i="2" s="1"/>
  <c r="AA51" i="2"/>
  <c r="AA50" i="2"/>
  <c r="Z50" i="2" s="1"/>
  <c r="AA49" i="2"/>
  <c r="Z49" i="2" s="1"/>
  <c r="AA53" i="2"/>
  <c r="AA46" i="2"/>
  <c r="Z46" i="2" s="1"/>
  <c r="AA45" i="2"/>
  <c r="Z45" i="2" s="1"/>
  <c r="AG46" i="2"/>
  <c r="S46" i="2"/>
  <c r="AH59" i="2"/>
  <c r="AA59" i="2"/>
  <c r="G116" i="2"/>
  <c r="AG36" i="2"/>
  <c r="S36" i="2"/>
  <c r="Z36" i="2"/>
  <c r="AN40" i="2"/>
  <c r="L40" i="2"/>
  <c r="AH39" i="2"/>
  <c r="AO59" i="2"/>
  <c r="AH67" i="2"/>
  <c r="T67" i="2"/>
  <c r="S69" i="2"/>
  <c r="S91" i="2" s="1"/>
  <c r="F121" i="2"/>
  <c r="AH61" i="1"/>
  <c r="AH63" i="1"/>
  <c r="AG63" i="1" s="1"/>
  <c r="AH65" i="1"/>
  <c r="L64" i="1"/>
  <c r="G53" i="1"/>
  <c r="S116" i="1"/>
  <c r="AG116" i="1"/>
  <c r="M61" i="1"/>
  <c r="L61" i="1" s="1"/>
  <c r="M63" i="1"/>
  <c r="M65" i="1"/>
  <c r="L65" i="1" s="1"/>
  <c r="L66" i="1"/>
  <c r="AH62" i="1"/>
  <c r="T61" i="1"/>
  <c r="AA59" i="1"/>
  <c r="M59" i="1"/>
  <c r="AO59" i="1"/>
  <c r="T59" i="1"/>
  <c r="AH59" i="1"/>
  <c r="F121" i="1"/>
  <c r="AN116" i="1"/>
  <c r="AH64" i="1"/>
  <c r="AG64" i="1" s="1"/>
  <c r="M62" i="1"/>
  <c r="L62" i="1" s="1"/>
  <c r="T62" i="1"/>
  <c r="S62" i="1" s="1"/>
  <c r="T64" i="1"/>
  <c r="S64" i="1" s="1"/>
  <c r="T66" i="1"/>
  <c r="S66" i="1" s="1"/>
  <c r="AH66" i="1"/>
  <c r="AG66" i="1" s="1"/>
  <c r="T65" i="1"/>
  <c r="S65" i="1" s="1"/>
  <c r="AG62" i="1"/>
  <c r="L69" i="1"/>
  <c r="AN69" i="1"/>
  <c r="AN91" i="1" s="1"/>
  <c r="Z69" i="1"/>
  <c r="Z91" i="1" s="1"/>
  <c r="AO67" i="1"/>
  <c r="AA67" i="1"/>
  <c r="M53" i="1"/>
  <c r="M52" i="1"/>
  <c r="L52" i="1" s="1"/>
  <c r="F29" i="1"/>
  <c r="G21" i="1"/>
  <c r="AG65" i="1"/>
  <c r="S63" i="1"/>
  <c r="L63" i="1"/>
  <c r="S61" i="1"/>
  <c r="AG61" i="1"/>
  <c r="G67" i="1"/>
  <c r="G56" i="1"/>
  <c r="AO44" i="1"/>
  <c r="AO45" i="1"/>
  <c r="AO46" i="1"/>
  <c r="AO49" i="1"/>
  <c r="AO47" i="1"/>
  <c r="AN47" i="1" s="1"/>
  <c r="AO50" i="1"/>
  <c r="AN50" i="1" s="1"/>
  <c r="AO52" i="1"/>
  <c r="AN52" i="1" s="1"/>
  <c r="AO51" i="1"/>
  <c r="AA44" i="1"/>
  <c r="AA45" i="1"/>
  <c r="Z45" i="1" s="1"/>
  <c r="AA46" i="1"/>
  <c r="AA51" i="1"/>
  <c r="AA49" i="1"/>
  <c r="AA48" i="1"/>
  <c r="AA50" i="1"/>
  <c r="AA52" i="1"/>
  <c r="Z52" i="1" s="1"/>
  <c r="M44" i="1"/>
  <c r="M45" i="1"/>
  <c r="L45" i="1" s="1"/>
  <c r="M46" i="1"/>
  <c r="M48" i="1"/>
  <c r="M47" i="1"/>
  <c r="L47" i="1" s="1"/>
  <c r="M49" i="1"/>
  <c r="L49" i="1" s="1"/>
  <c r="AH44" i="1"/>
  <c r="AG44" i="1" s="1"/>
  <c r="T45" i="1"/>
  <c r="S45" i="1" s="1"/>
  <c r="AH46" i="1"/>
  <c r="AG46" i="1" s="1"/>
  <c r="T49" i="1"/>
  <c r="S49" i="1" s="1"/>
  <c r="AH50" i="1"/>
  <c r="AG50" i="1" s="1"/>
  <c r="AH52" i="1"/>
  <c r="AG52" i="1" s="1"/>
  <c r="T44" i="1"/>
  <c r="S44" i="1" s="1"/>
  <c r="AH45" i="1"/>
  <c r="AG45" i="1" s="1"/>
  <c r="T46" i="1"/>
  <c r="S46" i="1" s="1"/>
  <c r="L50" i="1"/>
  <c r="Z50" i="1"/>
  <c r="AN45" i="1"/>
  <c r="AO40" i="1"/>
  <c r="AN40" i="1" s="1"/>
  <c r="M40" i="1"/>
  <c r="L40" i="1" s="1"/>
  <c r="AO39" i="1"/>
  <c r="L13" i="1"/>
  <c r="Z13" i="1"/>
  <c r="AN13" i="1"/>
  <c r="S13" i="1"/>
  <c r="S12" i="1"/>
  <c r="AH47" i="1"/>
  <c r="AG47" i="1" s="1"/>
  <c r="AH48" i="1"/>
  <c r="T47" i="1"/>
  <c r="S47" i="1" s="1"/>
  <c r="T51" i="1"/>
  <c r="AH53" i="1"/>
  <c r="T53" i="1"/>
  <c r="T52" i="1"/>
  <c r="S52" i="1" s="1"/>
  <c r="AH51" i="1"/>
  <c r="T50" i="1"/>
  <c r="S50" i="1" s="1"/>
  <c r="Z49" i="1"/>
  <c r="AN49" i="1"/>
  <c r="T48" i="1"/>
  <c r="AG38" i="1"/>
  <c r="AG36" i="1"/>
  <c r="G29" i="1"/>
  <c r="G42" i="1" s="1"/>
  <c r="L46" i="1"/>
  <c r="Z46" i="1"/>
  <c r="AN46" i="1"/>
  <c r="L44" i="1"/>
  <c r="Z44" i="1"/>
  <c r="AN44" i="1"/>
  <c r="AO35" i="1"/>
  <c r="AN35" i="1" s="1"/>
  <c r="AO36" i="1"/>
  <c r="AN36" i="1" s="1"/>
  <c r="AO37" i="1"/>
  <c r="AO38" i="1"/>
  <c r="AN38" i="1" s="1"/>
  <c r="AA35" i="1"/>
  <c r="AA36" i="1"/>
  <c r="Z36" i="1" s="1"/>
  <c r="AA37" i="1"/>
  <c r="Z37" i="1" s="1"/>
  <c r="AA38" i="1"/>
  <c r="Z38" i="1" s="1"/>
  <c r="AA39" i="1"/>
  <c r="M35" i="1"/>
  <c r="L35" i="1" s="1"/>
  <c r="M36" i="1"/>
  <c r="L36" i="1" s="1"/>
  <c r="M37" i="1"/>
  <c r="L37" i="1" s="1"/>
  <c r="M38" i="1"/>
  <c r="L38" i="1" s="1"/>
  <c r="AA40" i="1"/>
  <c r="Z40" i="1" s="1"/>
  <c r="M39" i="1"/>
  <c r="AN37" i="1"/>
  <c r="Z35" i="1"/>
  <c r="AH41" i="1"/>
  <c r="T41" i="1"/>
  <c r="S41" i="1" s="1"/>
  <c r="T40" i="1"/>
  <c r="S40" i="1" s="1"/>
  <c r="AH12" i="1"/>
  <c r="AH13" i="1" s="1"/>
  <c r="AG13" i="1" s="1"/>
  <c r="AG41" i="1"/>
  <c r="AG40" i="1"/>
  <c r="AQ41" i="1" l="1"/>
  <c r="AQ116" i="1"/>
  <c r="AA51" i="4"/>
  <c r="AA50" i="4"/>
  <c r="Z50" i="4" s="1"/>
  <c r="M47" i="4"/>
  <c r="AO47" i="4"/>
  <c r="F122" i="4"/>
  <c r="F128" i="4" s="1"/>
  <c r="S12" i="4"/>
  <c r="AQ69" i="2"/>
  <c r="AG12" i="1"/>
  <c r="AQ12" i="1" s="1"/>
  <c r="AQ45" i="2"/>
  <c r="AQ46" i="2"/>
  <c r="AQ49" i="1"/>
  <c r="AQ36" i="1"/>
  <c r="AQ51" i="5"/>
  <c r="Z12" i="5"/>
  <c r="AQ39" i="5"/>
  <c r="AQ36" i="5"/>
  <c r="AQ12" i="5"/>
  <c r="AQ50" i="4"/>
  <c r="AQ44" i="4"/>
  <c r="AQ37" i="4"/>
  <c r="AQ113" i="3"/>
  <c r="AQ50" i="3"/>
  <c r="AQ49" i="3"/>
  <c r="T115" i="3"/>
  <c r="S115" i="3" s="1"/>
  <c r="AA109" i="3"/>
  <c r="Z109" i="3" s="1"/>
  <c r="T104" i="3"/>
  <c r="S104" i="3" s="1"/>
  <c r="AQ38" i="3"/>
  <c r="AQ36" i="2"/>
  <c r="AQ38" i="2"/>
  <c r="AQ45" i="5"/>
  <c r="AQ42" i="5"/>
  <c r="AQ38" i="5"/>
  <c r="AH54" i="5"/>
  <c r="AG54" i="5" s="1"/>
  <c r="AH55" i="5"/>
  <c r="AG55" i="5" s="1"/>
  <c r="AH56" i="5"/>
  <c r="AG56" i="5" s="1"/>
  <c r="AH118" i="5"/>
  <c r="AG118" i="5" s="1"/>
  <c r="T118" i="5"/>
  <c r="S118" i="5" s="1"/>
  <c r="AH117" i="5"/>
  <c r="AG117" i="5" s="1"/>
  <c r="T117" i="5"/>
  <c r="S117" i="5" s="1"/>
  <c r="AH116" i="5"/>
  <c r="AG116" i="5" s="1"/>
  <c r="T116" i="5"/>
  <c r="S116" i="5" s="1"/>
  <c r="AH115" i="5"/>
  <c r="AG115" i="5" s="1"/>
  <c r="T115" i="5"/>
  <c r="S115" i="5" s="1"/>
  <c r="AA112" i="5"/>
  <c r="Z112" i="5" s="1"/>
  <c r="M112" i="5"/>
  <c r="L112" i="5" s="1"/>
  <c r="AA111" i="5"/>
  <c r="Z111" i="5" s="1"/>
  <c r="M111" i="5"/>
  <c r="L111" i="5" s="1"/>
  <c r="AA110" i="5"/>
  <c r="Z110" i="5" s="1"/>
  <c r="M110" i="5"/>
  <c r="L110" i="5" s="1"/>
  <c r="AA109" i="5"/>
  <c r="Z109" i="5" s="1"/>
  <c r="M109" i="5"/>
  <c r="L109" i="5" s="1"/>
  <c r="AH104" i="5"/>
  <c r="AG104" i="5" s="1"/>
  <c r="T104" i="5"/>
  <c r="S104" i="5" s="1"/>
  <c r="AH103" i="5"/>
  <c r="AG103" i="5" s="1"/>
  <c r="T103" i="5"/>
  <c r="S103" i="5" s="1"/>
  <c r="AH102" i="5"/>
  <c r="AG102" i="5" s="1"/>
  <c r="T102" i="5"/>
  <c r="S102" i="5" s="1"/>
  <c r="AH101" i="5"/>
  <c r="AG101" i="5" s="1"/>
  <c r="T101" i="5"/>
  <c r="S101" i="5" s="1"/>
  <c r="AH100" i="5"/>
  <c r="AG100" i="5" s="1"/>
  <c r="T100" i="5"/>
  <c r="S100" i="5" s="1"/>
  <c r="AH99" i="5"/>
  <c r="AG99" i="5" s="1"/>
  <c r="T99" i="5"/>
  <c r="S99" i="5" s="1"/>
  <c r="AH98" i="5"/>
  <c r="AG98" i="5" s="1"/>
  <c r="T98" i="5"/>
  <c r="S98" i="5" s="1"/>
  <c r="AH97" i="5"/>
  <c r="AG97" i="5" s="1"/>
  <c r="T97" i="5"/>
  <c r="S97" i="5" s="1"/>
  <c r="AH96" i="5"/>
  <c r="AG96" i="5" s="1"/>
  <c r="T96" i="5"/>
  <c r="S96" i="5" s="1"/>
  <c r="AH95" i="5"/>
  <c r="AG95" i="5" s="1"/>
  <c r="T95" i="5"/>
  <c r="S95" i="5" s="1"/>
  <c r="AH94" i="5"/>
  <c r="AG94" i="5" s="1"/>
  <c r="T94" i="5"/>
  <c r="S94" i="5" s="1"/>
  <c r="AH93" i="5"/>
  <c r="AG93" i="5" s="1"/>
  <c r="T93" i="5"/>
  <c r="S93" i="5" s="1"/>
  <c r="AH92" i="5"/>
  <c r="AG92" i="5" s="1"/>
  <c r="T92" i="5"/>
  <c r="S92" i="5" s="1"/>
  <c r="AH91" i="5"/>
  <c r="T91" i="5"/>
  <c r="AH113" i="5"/>
  <c r="AG113" i="5" s="1"/>
  <c r="T113" i="5"/>
  <c r="S113" i="5" s="1"/>
  <c r="AA108" i="5"/>
  <c r="Z108" i="5" s="1"/>
  <c r="M108" i="5"/>
  <c r="L108" i="5" s="1"/>
  <c r="AA107" i="5"/>
  <c r="Z107" i="5" s="1"/>
  <c r="M107" i="5"/>
  <c r="L107" i="5" s="1"/>
  <c r="AA106" i="5"/>
  <c r="Z106" i="5" s="1"/>
  <c r="M106" i="5"/>
  <c r="L106" i="5" s="1"/>
  <c r="AA105" i="5"/>
  <c r="Z105" i="5" s="1"/>
  <c r="M105" i="5"/>
  <c r="L105" i="5" s="1"/>
  <c r="AP123" i="5"/>
  <c r="AA118" i="5"/>
  <c r="Z118" i="5" s="1"/>
  <c r="M118" i="5"/>
  <c r="L118" i="5" s="1"/>
  <c r="AA117" i="5"/>
  <c r="Z117" i="5" s="1"/>
  <c r="M117" i="5"/>
  <c r="L117" i="5" s="1"/>
  <c r="AA116" i="5"/>
  <c r="Z116" i="5" s="1"/>
  <c r="M116" i="5"/>
  <c r="L116" i="5" s="1"/>
  <c r="AA115" i="5"/>
  <c r="Z115" i="5" s="1"/>
  <c r="M115" i="5"/>
  <c r="L115" i="5" s="1"/>
  <c r="AH112" i="5"/>
  <c r="AG112" i="5" s="1"/>
  <c r="T112" i="5"/>
  <c r="S112" i="5" s="1"/>
  <c r="AH111" i="5"/>
  <c r="AG111" i="5" s="1"/>
  <c r="T111" i="5"/>
  <c r="S111" i="5" s="1"/>
  <c r="AH110" i="5"/>
  <c r="AG110" i="5" s="1"/>
  <c r="T110" i="5"/>
  <c r="S110" i="5" s="1"/>
  <c r="AH109" i="5"/>
  <c r="AG109" i="5" s="1"/>
  <c r="T109" i="5"/>
  <c r="S109" i="5" s="1"/>
  <c r="AA104" i="5"/>
  <c r="Z104" i="5" s="1"/>
  <c r="M104" i="5"/>
  <c r="L104" i="5" s="1"/>
  <c r="AA103" i="5"/>
  <c r="Z103" i="5" s="1"/>
  <c r="M103" i="5"/>
  <c r="L103" i="5" s="1"/>
  <c r="AA102" i="5"/>
  <c r="Z102" i="5" s="1"/>
  <c r="M102" i="5"/>
  <c r="L102" i="5" s="1"/>
  <c r="AA101" i="5"/>
  <c r="Z101" i="5" s="1"/>
  <c r="M101" i="5"/>
  <c r="L101" i="5" s="1"/>
  <c r="AA100" i="5"/>
  <c r="Z100" i="5" s="1"/>
  <c r="M100" i="5"/>
  <c r="L100" i="5" s="1"/>
  <c r="AA99" i="5"/>
  <c r="Z99" i="5" s="1"/>
  <c r="M99" i="5"/>
  <c r="L99" i="5" s="1"/>
  <c r="AA98" i="5"/>
  <c r="Z98" i="5" s="1"/>
  <c r="M98" i="5"/>
  <c r="L98" i="5" s="1"/>
  <c r="AA97" i="5"/>
  <c r="Z97" i="5" s="1"/>
  <c r="M97" i="5"/>
  <c r="L97" i="5" s="1"/>
  <c r="AA96" i="5"/>
  <c r="Z96" i="5" s="1"/>
  <c r="M96" i="5"/>
  <c r="L96" i="5" s="1"/>
  <c r="AA95" i="5"/>
  <c r="Z95" i="5" s="1"/>
  <c r="M95" i="5"/>
  <c r="L95" i="5" s="1"/>
  <c r="AA94" i="5"/>
  <c r="Z94" i="5" s="1"/>
  <c r="M94" i="5"/>
  <c r="L94" i="5" s="1"/>
  <c r="AA93" i="5"/>
  <c r="Z93" i="5" s="1"/>
  <c r="M93" i="5"/>
  <c r="L93" i="5" s="1"/>
  <c r="AA92" i="5"/>
  <c r="Z92" i="5" s="1"/>
  <c r="M92" i="5"/>
  <c r="L92" i="5" s="1"/>
  <c r="AA91" i="5"/>
  <c r="M91" i="5"/>
  <c r="AA113" i="5"/>
  <c r="Z113" i="5" s="1"/>
  <c r="AH108" i="5"/>
  <c r="AG108" i="5" s="1"/>
  <c r="T107" i="5"/>
  <c r="S107" i="5" s="1"/>
  <c r="F123" i="5"/>
  <c r="M113" i="5"/>
  <c r="L113" i="5" s="1"/>
  <c r="T108" i="5"/>
  <c r="S108" i="5" s="1"/>
  <c r="AH105" i="5"/>
  <c r="AG105" i="5" s="1"/>
  <c r="AH106" i="5"/>
  <c r="AG106" i="5" s="1"/>
  <c r="T105" i="5"/>
  <c r="S105" i="5" s="1"/>
  <c r="T106" i="5"/>
  <c r="S106" i="5" s="1"/>
  <c r="AH107" i="5"/>
  <c r="AG107" i="5" s="1"/>
  <c r="L89" i="5"/>
  <c r="AQ89" i="5" s="1"/>
  <c r="AQ67" i="5"/>
  <c r="AQ47" i="5"/>
  <c r="AQ34" i="5"/>
  <c r="T63" i="5"/>
  <c r="S63" i="5" s="1"/>
  <c r="T59" i="5"/>
  <c r="S59" i="5" s="1"/>
  <c r="T64" i="5"/>
  <c r="S64" i="5" s="1"/>
  <c r="T60" i="5"/>
  <c r="S60" i="5" s="1"/>
  <c r="T61" i="5"/>
  <c r="S61" i="5" s="1"/>
  <c r="T62" i="5"/>
  <c r="S62" i="5" s="1"/>
  <c r="M56" i="5"/>
  <c r="L56" i="5" s="1"/>
  <c r="M55" i="5"/>
  <c r="L55" i="5" s="1"/>
  <c r="M54" i="5"/>
  <c r="L54" i="5" s="1"/>
  <c r="AH64" i="5"/>
  <c r="AG64" i="5" s="1"/>
  <c r="AH60" i="5"/>
  <c r="AG60" i="5" s="1"/>
  <c r="AH61" i="5"/>
  <c r="AG61" i="5" s="1"/>
  <c r="AH62" i="5"/>
  <c r="AG62" i="5" s="1"/>
  <c r="AH63" i="5"/>
  <c r="AG63" i="5" s="1"/>
  <c r="AH59" i="5"/>
  <c r="AG59" i="5" s="1"/>
  <c r="M64" i="5"/>
  <c r="L64" i="5" s="1"/>
  <c r="M63" i="5"/>
  <c r="L63" i="5" s="1"/>
  <c r="M62" i="5"/>
  <c r="L62" i="5" s="1"/>
  <c r="M61" i="5"/>
  <c r="L61" i="5" s="1"/>
  <c r="M60" i="5"/>
  <c r="L60" i="5" s="1"/>
  <c r="M59" i="5"/>
  <c r="L59" i="5" s="1"/>
  <c r="T23" i="5"/>
  <c r="S23" i="5" s="1"/>
  <c r="T19" i="5"/>
  <c r="S19" i="5" s="1"/>
  <c r="T27" i="5"/>
  <c r="S27" i="5" s="1"/>
  <c r="T22" i="5"/>
  <c r="S22" i="5" s="1"/>
  <c r="T20" i="5"/>
  <c r="S20" i="5" s="1"/>
  <c r="T17" i="5"/>
  <c r="S17" i="5" s="1"/>
  <c r="T15" i="5"/>
  <c r="S15" i="5" s="1"/>
  <c r="T25" i="5"/>
  <c r="S25" i="5" s="1"/>
  <c r="T26" i="5"/>
  <c r="S26" i="5" s="1"/>
  <c r="T24" i="5"/>
  <c r="S24" i="5" s="1"/>
  <c r="T21" i="5"/>
  <c r="S21" i="5" s="1"/>
  <c r="T18" i="5"/>
  <c r="S18" i="5" s="1"/>
  <c r="T16" i="5"/>
  <c r="S16" i="5" s="1"/>
  <c r="AH23" i="5"/>
  <c r="AG23" i="5" s="1"/>
  <c r="AH19" i="5"/>
  <c r="AH25" i="5"/>
  <c r="AG25" i="5" s="1"/>
  <c r="AH24" i="5"/>
  <c r="AG24" i="5" s="1"/>
  <c r="AH21" i="5"/>
  <c r="AG21" i="5" s="1"/>
  <c r="AH18" i="5"/>
  <c r="AG18" i="5" s="1"/>
  <c r="AH16" i="5"/>
  <c r="AG16" i="5" s="1"/>
  <c r="AH26" i="5"/>
  <c r="AG26" i="5" s="1"/>
  <c r="AH27" i="5"/>
  <c r="AG27" i="5" s="1"/>
  <c r="AH22" i="5"/>
  <c r="AG22" i="5" s="1"/>
  <c r="AH20" i="5"/>
  <c r="AG20" i="5" s="1"/>
  <c r="AH17" i="5"/>
  <c r="AG17" i="5" s="1"/>
  <c r="AH15" i="5"/>
  <c r="AG15" i="5" s="1"/>
  <c r="M19" i="5"/>
  <c r="L19" i="5" s="1"/>
  <c r="M27" i="5"/>
  <c r="L27" i="5" s="1"/>
  <c r="M26" i="5"/>
  <c r="L26" i="5" s="1"/>
  <c r="M25" i="5"/>
  <c r="L25" i="5" s="1"/>
  <c r="M23" i="5"/>
  <c r="L23" i="5" s="1"/>
  <c r="M24" i="5"/>
  <c r="L24" i="5" s="1"/>
  <c r="M21" i="5"/>
  <c r="L21" i="5" s="1"/>
  <c r="M18" i="5"/>
  <c r="L18" i="5" s="1"/>
  <c r="M16" i="5"/>
  <c r="L16" i="5" s="1"/>
  <c r="M22" i="5"/>
  <c r="L22" i="5" s="1"/>
  <c r="M20" i="5"/>
  <c r="L20" i="5" s="1"/>
  <c r="M17" i="5"/>
  <c r="L17" i="5" s="1"/>
  <c r="M15" i="5"/>
  <c r="L15" i="5" s="1"/>
  <c r="AQ44" i="5"/>
  <c r="AA64" i="5"/>
  <c r="Z64" i="5" s="1"/>
  <c r="AA63" i="5"/>
  <c r="Z63" i="5" s="1"/>
  <c r="AA62" i="5"/>
  <c r="Z62" i="5" s="1"/>
  <c r="AA61" i="5"/>
  <c r="Z61" i="5" s="1"/>
  <c r="AA60" i="5"/>
  <c r="Z60" i="5" s="1"/>
  <c r="AA59" i="5"/>
  <c r="Z59" i="5" s="1"/>
  <c r="AA19" i="5"/>
  <c r="Z19" i="5" s="1"/>
  <c r="AA27" i="5"/>
  <c r="Z27" i="5" s="1"/>
  <c r="AA26" i="5"/>
  <c r="Z26" i="5" s="1"/>
  <c r="AA25" i="5"/>
  <c r="Z25" i="5" s="1"/>
  <c r="AA23" i="5"/>
  <c r="Z23" i="5" s="1"/>
  <c r="AA22" i="5"/>
  <c r="Z22" i="5" s="1"/>
  <c r="AA20" i="5"/>
  <c r="Z20" i="5" s="1"/>
  <c r="AA17" i="5"/>
  <c r="Z17" i="5" s="1"/>
  <c r="AA15" i="5"/>
  <c r="Z15" i="5" s="1"/>
  <c r="AA24" i="5"/>
  <c r="Z24" i="5" s="1"/>
  <c r="AA21" i="5"/>
  <c r="Z21" i="5" s="1"/>
  <c r="AA18" i="5"/>
  <c r="Z18" i="5" s="1"/>
  <c r="AA16" i="5"/>
  <c r="Z16" i="5" s="1"/>
  <c r="AQ48" i="5"/>
  <c r="AQ35" i="5"/>
  <c r="AQ33" i="5"/>
  <c r="T54" i="5"/>
  <c r="S54" i="5" s="1"/>
  <c r="T55" i="5"/>
  <c r="S55" i="5" s="1"/>
  <c r="T56" i="5"/>
  <c r="S56" i="5" s="1"/>
  <c r="AO64" i="5"/>
  <c r="AN64" i="5" s="1"/>
  <c r="AO63" i="5"/>
  <c r="AN63" i="5" s="1"/>
  <c r="AO62" i="5"/>
  <c r="AN62" i="5" s="1"/>
  <c r="AO61" i="5"/>
  <c r="AN61" i="5" s="1"/>
  <c r="AO60" i="5"/>
  <c r="AN60" i="5" s="1"/>
  <c r="AO59" i="5"/>
  <c r="AN59" i="5" s="1"/>
  <c r="AN50" i="5"/>
  <c r="Z50" i="5"/>
  <c r="L50" i="5"/>
  <c r="AG50" i="5"/>
  <c r="S50" i="5"/>
  <c r="AO19" i="5"/>
  <c r="AN19" i="5" s="1"/>
  <c r="AO27" i="5"/>
  <c r="AN27" i="5" s="1"/>
  <c r="AO26" i="5"/>
  <c r="AN26" i="5" s="1"/>
  <c r="AO25" i="5"/>
  <c r="AN25" i="5" s="1"/>
  <c r="AO23" i="5"/>
  <c r="AN23" i="5" s="1"/>
  <c r="AO24" i="5"/>
  <c r="AN24" i="5" s="1"/>
  <c r="AO21" i="5"/>
  <c r="AN21" i="5" s="1"/>
  <c r="AO18" i="5"/>
  <c r="AN18" i="5" s="1"/>
  <c r="AO16" i="5"/>
  <c r="AN16" i="5" s="1"/>
  <c r="AO22" i="5"/>
  <c r="AN22" i="5" s="1"/>
  <c r="AO20" i="5"/>
  <c r="AN20" i="5" s="1"/>
  <c r="AO17" i="5"/>
  <c r="AN17" i="5" s="1"/>
  <c r="AO15" i="5"/>
  <c r="AN15" i="5" s="1"/>
  <c r="Z13" i="5"/>
  <c r="S13" i="5"/>
  <c r="AN13" i="5"/>
  <c r="L13" i="5"/>
  <c r="AG13" i="5"/>
  <c r="AO56" i="5"/>
  <c r="AN56" i="5" s="1"/>
  <c r="AO55" i="5"/>
  <c r="AN55" i="5" s="1"/>
  <c r="AO54" i="5"/>
  <c r="AN54" i="5" s="1"/>
  <c r="AQ43" i="5"/>
  <c r="AA56" i="5"/>
  <c r="Z56" i="5" s="1"/>
  <c r="AA55" i="5"/>
  <c r="Z55" i="5" s="1"/>
  <c r="AA54" i="5"/>
  <c r="Z54" i="5" s="1"/>
  <c r="F120" i="5"/>
  <c r="F126" i="5" s="1"/>
  <c r="AQ35" i="4"/>
  <c r="AG47" i="4"/>
  <c r="S47" i="4"/>
  <c r="AN47" i="4"/>
  <c r="L47" i="4"/>
  <c r="Z47" i="4"/>
  <c r="G54" i="4"/>
  <c r="AN13" i="4"/>
  <c r="Z13" i="4"/>
  <c r="L13" i="4"/>
  <c r="S13" i="4"/>
  <c r="AG13" i="4"/>
  <c r="AH120" i="4"/>
  <c r="AG120" i="4" s="1"/>
  <c r="T120" i="4"/>
  <c r="S120" i="4" s="1"/>
  <c r="AH119" i="4"/>
  <c r="AG119" i="4" s="1"/>
  <c r="T119" i="4"/>
  <c r="S119" i="4" s="1"/>
  <c r="AH118" i="4"/>
  <c r="AG118" i="4" s="1"/>
  <c r="T118" i="4"/>
  <c r="S118" i="4" s="1"/>
  <c r="AH117" i="4"/>
  <c r="AG117" i="4" s="1"/>
  <c r="T117" i="4"/>
  <c r="S117" i="4" s="1"/>
  <c r="AA114" i="4"/>
  <c r="Z114" i="4" s="1"/>
  <c r="M114" i="4"/>
  <c r="L114" i="4" s="1"/>
  <c r="AA113" i="4"/>
  <c r="Z113" i="4" s="1"/>
  <c r="M113" i="4"/>
  <c r="L113" i="4" s="1"/>
  <c r="AA112" i="4"/>
  <c r="Z112" i="4" s="1"/>
  <c r="M112" i="4"/>
  <c r="L112" i="4" s="1"/>
  <c r="AA111" i="4"/>
  <c r="Z111" i="4" s="1"/>
  <c r="M111" i="4"/>
  <c r="L111" i="4" s="1"/>
  <c r="AH106" i="4"/>
  <c r="AG106" i="4" s="1"/>
  <c r="T106" i="4"/>
  <c r="S106" i="4" s="1"/>
  <c r="AH105" i="4"/>
  <c r="AG105" i="4" s="1"/>
  <c r="T105" i="4"/>
  <c r="S105" i="4" s="1"/>
  <c r="AH104" i="4"/>
  <c r="AG104" i="4" s="1"/>
  <c r="T104" i="4"/>
  <c r="S104" i="4" s="1"/>
  <c r="AH103" i="4"/>
  <c r="AG103" i="4" s="1"/>
  <c r="T103" i="4"/>
  <c r="S103" i="4" s="1"/>
  <c r="AH102" i="4"/>
  <c r="AG102" i="4" s="1"/>
  <c r="T102" i="4"/>
  <c r="S102" i="4" s="1"/>
  <c r="AH101" i="4"/>
  <c r="AG101" i="4" s="1"/>
  <c r="T101" i="4"/>
  <c r="S101" i="4" s="1"/>
  <c r="AH100" i="4"/>
  <c r="AG100" i="4" s="1"/>
  <c r="T100" i="4"/>
  <c r="S100" i="4" s="1"/>
  <c r="AH99" i="4"/>
  <c r="AG99" i="4" s="1"/>
  <c r="T99" i="4"/>
  <c r="S99" i="4" s="1"/>
  <c r="AH98" i="4"/>
  <c r="AG98" i="4" s="1"/>
  <c r="T98" i="4"/>
  <c r="S98" i="4" s="1"/>
  <c r="AH97" i="4"/>
  <c r="AG97" i="4" s="1"/>
  <c r="T97" i="4"/>
  <c r="S97" i="4" s="1"/>
  <c r="AH96" i="4"/>
  <c r="AG96" i="4" s="1"/>
  <c r="T96" i="4"/>
  <c r="S96" i="4" s="1"/>
  <c r="AH95" i="4"/>
  <c r="AG95" i="4" s="1"/>
  <c r="T95" i="4"/>
  <c r="S95" i="4" s="1"/>
  <c r="AH94" i="4"/>
  <c r="AG94" i="4" s="1"/>
  <c r="T94" i="4"/>
  <c r="S94" i="4" s="1"/>
  <c r="AH93" i="4"/>
  <c r="T93" i="4"/>
  <c r="AH115" i="4"/>
  <c r="AG115" i="4" s="1"/>
  <c r="T115" i="4"/>
  <c r="S115" i="4" s="1"/>
  <c r="AA110" i="4"/>
  <c r="Z110" i="4" s="1"/>
  <c r="M110" i="4"/>
  <c r="L110" i="4" s="1"/>
  <c r="AA109" i="4"/>
  <c r="Z109" i="4" s="1"/>
  <c r="M109" i="4"/>
  <c r="L109" i="4" s="1"/>
  <c r="AA108" i="4"/>
  <c r="Z108" i="4" s="1"/>
  <c r="M108" i="4"/>
  <c r="L108" i="4" s="1"/>
  <c r="AA107" i="4"/>
  <c r="Z107" i="4" s="1"/>
  <c r="M107" i="4"/>
  <c r="L107" i="4" s="1"/>
  <c r="AP125" i="4"/>
  <c r="AA120" i="4"/>
  <c r="Z120" i="4" s="1"/>
  <c r="M120" i="4"/>
  <c r="L120" i="4" s="1"/>
  <c r="AA119" i="4"/>
  <c r="Z119" i="4" s="1"/>
  <c r="M119" i="4"/>
  <c r="L119" i="4" s="1"/>
  <c r="AA118" i="4"/>
  <c r="Z118" i="4" s="1"/>
  <c r="M118" i="4"/>
  <c r="L118" i="4" s="1"/>
  <c r="AA117" i="4"/>
  <c r="Z117" i="4" s="1"/>
  <c r="M117" i="4"/>
  <c r="L117" i="4" s="1"/>
  <c r="AH114" i="4"/>
  <c r="AG114" i="4" s="1"/>
  <c r="T114" i="4"/>
  <c r="S114" i="4" s="1"/>
  <c r="AH113" i="4"/>
  <c r="AG113" i="4" s="1"/>
  <c r="T113" i="4"/>
  <c r="S113" i="4" s="1"/>
  <c r="AH112" i="4"/>
  <c r="AG112" i="4" s="1"/>
  <c r="T112" i="4"/>
  <c r="S112" i="4" s="1"/>
  <c r="AH111" i="4"/>
  <c r="AG111" i="4" s="1"/>
  <c r="T111" i="4"/>
  <c r="S111" i="4" s="1"/>
  <c r="AA106" i="4"/>
  <c r="Z106" i="4" s="1"/>
  <c r="M106" i="4"/>
  <c r="L106" i="4" s="1"/>
  <c r="AA105" i="4"/>
  <c r="Z105" i="4" s="1"/>
  <c r="M105" i="4"/>
  <c r="L105" i="4" s="1"/>
  <c r="AA104" i="4"/>
  <c r="Z104" i="4" s="1"/>
  <c r="M104" i="4"/>
  <c r="L104" i="4" s="1"/>
  <c r="AA103" i="4"/>
  <c r="Z103" i="4" s="1"/>
  <c r="M103" i="4"/>
  <c r="L103" i="4" s="1"/>
  <c r="AA102" i="4"/>
  <c r="Z102" i="4" s="1"/>
  <c r="M102" i="4"/>
  <c r="L102" i="4" s="1"/>
  <c r="AA101" i="4"/>
  <c r="Z101" i="4" s="1"/>
  <c r="M101" i="4"/>
  <c r="L101" i="4" s="1"/>
  <c r="AA100" i="4"/>
  <c r="Z100" i="4" s="1"/>
  <c r="M100" i="4"/>
  <c r="L100" i="4" s="1"/>
  <c r="AA99" i="4"/>
  <c r="Z99" i="4" s="1"/>
  <c r="M99" i="4"/>
  <c r="L99" i="4" s="1"/>
  <c r="AA98" i="4"/>
  <c r="Z98" i="4" s="1"/>
  <c r="M98" i="4"/>
  <c r="L98" i="4" s="1"/>
  <c r="AA97" i="4"/>
  <c r="Z97" i="4" s="1"/>
  <c r="M97" i="4"/>
  <c r="L97" i="4" s="1"/>
  <c r="AA96" i="4"/>
  <c r="Z96" i="4" s="1"/>
  <c r="M96" i="4"/>
  <c r="L96" i="4" s="1"/>
  <c r="AA95" i="4"/>
  <c r="Z95" i="4" s="1"/>
  <c r="M95" i="4"/>
  <c r="L95" i="4" s="1"/>
  <c r="AA94" i="4"/>
  <c r="Z94" i="4" s="1"/>
  <c r="M94" i="4"/>
  <c r="L94" i="4" s="1"/>
  <c r="AA93" i="4"/>
  <c r="AA115" i="4"/>
  <c r="Z115" i="4" s="1"/>
  <c r="T110" i="4"/>
  <c r="S110" i="4" s="1"/>
  <c r="AH107" i="4"/>
  <c r="AG107" i="4" s="1"/>
  <c r="M93" i="4"/>
  <c r="F125" i="4"/>
  <c r="M115" i="4"/>
  <c r="L115" i="4" s="1"/>
  <c r="AH108" i="4"/>
  <c r="AG108" i="4" s="1"/>
  <c r="T107" i="4"/>
  <c r="S107" i="4" s="1"/>
  <c r="T109" i="4"/>
  <c r="S109" i="4" s="1"/>
  <c r="AH110" i="4"/>
  <c r="AG110" i="4" s="1"/>
  <c r="T108" i="4"/>
  <c r="S108" i="4" s="1"/>
  <c r="AH109" i="4"/>
  <c r="AG109" i="4" s="1"/>
  <c r="T57" i="4"/>
  <c r="S57" i="4" s="1"/>
  <c r="T58" i="4"/>
  <c r="S58" i="4" s="1"/>
  <c r="T56" i="4"/>
  <c r="S56" i="4" s="1"/>
  <c r="AQ45" i="4"/>
  <c r="L12" i="4"/>
  <c r="M66" i="4"/>
  <c r="L66" i="4" s="1"/>
  <c r="M65" i="4"/>
  <c r="L65" i="4" s="1"/>
  <c r="M64" i="4"/>
  <c r="L64" i="4" s="1"/>
  <c r="M63" i="4"/>
  <c r="L63" i="4" s="1"/>
  <c r="M62" i="4"/>
  <c r="L62" i="4" s="1"/>
  <c r="M61" i="4"/>
  <c r="L61" i="4" s="1"/>
  <c r="AN52" i="4"/>
  <c r="Z52" i="4"/>
  <c r="L52" i="4"/>
  <c r="S52" i="4"/>
  <c r="AG52" i="4"/>
  <c r="AQ38" i="4"/>
  <c r="AH65" i="4"/>
  <c r="AG65" i="4" s="1"/>
  <c r="AH63" i="4"/>
  <c r="AG63" i="4" s="1"/>
  <c r="AH61" i="4"/>
  <c r="AG61" i="4" s="1"/>
  <c r="AH66" i="4"/>
  <c r="AG66" i="4" s="1"/>
  <c r="AH64" i="4"/>
  <c r="AG64" i="4" s="1"/>
  <c r="AH62" i="4"/>
  <c r="AG62" i="4" s="1"/>
  <c r="AA58" i="4"/>
  <c r="Z58" i="4" s="1"/>
  <c r="AA57" i="4"/>
  <c r="Z57" i="4" s="1"/>
  <c r="AA56" i="4"/>
  <c r="Z56" i="4" s="1"/>
  <c r="Z12" i="4"/>
  <c r="AQ49" i="4"/>
  <c r="AO66" i="4"/>
  <c r="AN66" i="4" s="1"/>
  <c r="AO65" i="4"/>
  <c r="AN65" i="4" s="1"/>
  <c r="AO64" i="4"/>
  <c r="AN64" i="4" s="1"/>
  <c r="AO63" i="4"/>
  <c r="AN63" i="4" s="1"/>
  <c r="AO62" i="4"/>
  <c r="AN62" i="4" s="1"/>
  <c r="AO61" i="4"/>
  <c r="AN61" i="4" s="1"/>
  <c r="AA66" i="4"/>
  <c r="Z66" i="4" s="1"/>
  <c r="AA65" i="4"/>
  <c r="Z65" i="4" s="1"/>
  <c r="AA64" i="4"/>
  <c r="Z64" i="4" s="1"/>
  <c r="AA63" i="4"/>
  <c r="Z63" i="4" s="1"/>
  <c r="AA62" i="4"/>
  <c r="Z62" i="4" s="1"/>
  <c r="AA61" i="4"/>
  <c r="Z61" i="4" s="1"/>
  <c r="AH58" i="4"/>
  <c r="AG58" i="4" s="1"/>
  <c r="AH56" i="4"/>
  <c r="AG56" i="4" s="1"/>
  <c r="AH57" i="4"/>
  <c r="AG57" i="4" s="1"/>
  <c r="AQ46" i="4"/>
  <c r="M58" i="4"/>
  <c r="L58" i="4" s="1"/>
  <c r="M57" i="4"/>
  <c r="L57" i="4" s="1"/>
  <c r="M56" i="4"/>
  <c r="L56" i="4" s="1"/>
  <c r="AO29" i="4"/>
  <c r="AA29" i="4"/>
  <c r="M29" i="4"/>
  <c r="AH29" i="4"/>
  <c r="T29" i="4"/>
  <c r="AQ36" i="4"/>
  <c r="AQ41" i="3"/>
  <c r="AQ44" i="3"/>
  <c r="AQ42" i="3"/>
  <c r="M63" i="3"/>
  <c r="L63" i="3" s="1"/>
  <c r="M61" i="3"/>
  <c r="L61" i="3" s="1"/>
  <c r="M59" i="3"/>
  <c r="L59" i="3" s="1"/>
  <c r="M62" i="3"/>
  <c r="L62" i="3" s="1"/>
  <c r="M60" i="3"/>
  <c r="L60" i="3" s="1"/>
  <c r="M58" i="3"/>
  <c r="L58" i="3" s="1"/>
  <c r="T118" i="3"/>
  <c r="T55" i="3"/>
  <c r="S55" i="3" s="1"/>
  <c r="T54" i="3"/>
  <c r="S54" i="3" s="1"/>
  <c r="T53" i="3"/>
  <c r="S53" i="3" s="1"/>
  <c r="AQ33" i="3"/>
  <c r="T11" i="3"/>
  <c r="S10" i="3"/>
  <c r="L88" i="3"/>
  <c r="AQ88" i="3" s="1"/>
  <c r="AQ66" i="3"/>
  <c r="AA53" i="3"/>
  <c r="AA54" i="3"/>
  <c r="Z54" i="3" s="1"/>
  <c r="AA55" i="3"/>
  <c r="Z55" i="3" s="1"/>
  <c r="AA62" i="3"/>
  <c r="Z62" i="3" s="1"/>
  <c r="AA60" i="3"/>
  <c r="Z60" i="3" s="1"/>
  <c r="AA58" i="3"/>
  <c r="Z58" i="3" s="1"/>
  <c r="AA59" i="3"/>
  <c r="Z59" i="3" s="1"/>
  <c r="AA61" i="3"/>
  <c r="Z61" i="3" s="1"/>
  <c r="AA63" i="3"/>
  <c r="Z63" i="3" s="1"/>
  <c r="AQ47" i="3"/>
  <c r="AQ35" i="3"/>
  <c r="AQ43" i="3"/>
  <c r="AQ32" i="3"/>
  <c r="AG11" i="3"/>
  <c r="M118" i="3"/>
  <c r="AO117" i="3"/>
  <c r="AN117" i="3" s="1"/>
  <c r="AO116" i="3"/>
  <c r="AN116" i="3" s="1"/>
  <c r="AQ116" i="3" s="1"/>
  <c r="AO115" i="3"/>
  <c r="AN115" i="3" s="1"/>
  <c r="AO114" i="3"/>
  <c r="AN114" i="3" s="1"/>
  <c r="AQ114" i="3" s="1"/>
  <c r="AO103" i="3"/>
  <c r="AN103" i="3" s="1"/>
  <c r="AQ103" i="3" s="1"/>
  <c r="AO102" i="3"/>
  <c r="AN102" i="3" s="1"/>
  <c r="AQ102" i="3" s="1"/>
  <c r="AO101" i="3"/>
  <c r="AN101" i="3" s="1"/>
  <c r="AO100" i="3"/>
  <c r="AN100" i="3" s="1"/>
  <c r="AQ100" i="3" s="1"/>
  <c r="AO99" i="3"/>
  <c r="AN99" i="3" s="1"/>
  <c r="AO98" i="3"/>
  <c r="AN98" i="3" s="1"/>
  <c r="AQ98" i="3" s="1"/>
  <c r="AO97" i="3"/>
  <c r="AN97" i="3" s="1"/>
  <c r="AO96" i="3"/>
  <c r="AN96" i="3" s="1"/>
  <c r="AQ96" i="3" s="1"/>
  <c r="AO95" i="3"/>
  <c r="AN95" i="3" s="1"/>
  <c r="AQ95" i="3" s="1"/>
  <c r="AO94" i="3"/>
  <c r="AN94" i="3" s="1"/>
  <c r="AQ94" i="3" s="1"/>
  <c r="AO93" i="3"/>
  <c r="AN93" i="3" s="1"/>
  <c r="AO92" i="3"/>
  <c r="AN92" i="3" s="1"/>
  <c r="AQ92" i="3" s="1"/>
  <c r="AO91" i="3"/>
  <c r="AN91" i="3" s="1"/>
  <c r="AO90" i="3"/>
  <c r="AO110" i="3"/>
  <c r="AN110" i="3" s="1"/>
  <c r="AQ110" i="3" s="1"/>
  <c r="AO108" i="3"/>
  <c r="AN108" i="3" s="1"/>
  <c r="AO105" i="3"/>
  <c r="AN105" i="3" s="1"/>
  <c r="AQ105" i="3" s="1"/>
  <c r="AO111" i="3"/>
  <c r="AN111" i="3" s="1"/>
  <c r="AQ111" i="3" s="1"/>
  <c r="AO109" i="3"/>
  <c r="AN109" i="3" s="1"/>
  <c r="AQ109" i="3" s="1"/>
  <c r="AO107" i="3"/>
  <c r="AN107" i="3" s="1"/>
  <c r="AQ107" i="3" s="1"/>
  <c r="AO104" i="3"/>
  <c r="AN104" i="3" s="1"/>
  <c r="AQ104" i="3" s="1"/>
  <c r="AO112" i="3"/>
  <c r="AN112" i="3" s="1"/>
  <c r="AQ112" i="3" s="1"/>
  <c r="AO106" i="3"/>
  <c r="AN106" i="3" s="1"/>
  <c r="AH27" i="3"/>
  <c r="T27" i="3"/>
  <c r="AA27" i="3"/>
  <c r="M27" i="3"/>
  <c r="F119" i="3"/>
  <c r="F125" i="3" s="1"/>
  <c r="AO27" i="3"/>
  <c r="L10" i="3"/>
  <c r="M55" i="3"/>
  <c r="L55" i="3" s="1"/>
  <c r="M54" i="3"/>
  <c r="L54" i="3" s="1"/>
  <c r="M53" i="3"/>
  <c r="L53" i="3" s="1"/>
  <c r="T61" i="3"/>
  <c r="S61" i="3" s="1"/>
  <c r="T60" i="3"/>
  <c r="S60" i="3" s="1"/>
  <c r="T59" i="3"/>
  <c r="S59" i="3" s="1"/>
  <c r="T58" i="3"/>
  <c r="S58" i="3" s="1"/>
  <c r="T62" i="3"/>
  <c r="S62" i="3" s="1"/>
  <c r="T63" i="3"/>
  <c r="S63" i="3" s="1"/>
  <c r="Z53" i="3"/>
  <c r="AA118" i="3"/>
  <c r="AG10" i="3"/>
  <c r="AH118" i="3"/>
  <c r="AH119" i="3" s="1"/>
  <c r="AH123" i="3" s="1"/>
  <c r="AQ46" i="3"/>
  <c r="Z10" i="3"/>
  <c r="AQ106" i="3"/>
  <c r="AO54" i="3"/>
  <c r="AN54" i="3" s="1"/>
  <c r="AO55" i="3"/>
  <c r="AN55" i="3" s="1"/>
  <c r="AO53" i="3"/>
  <c r="AN53" i="3" s="1"/>
  <c r="AH58" i="3"/>
  <c r="AG58" i="3" s="1"/>
  <c r="AH63" i="3"/>
  <c r="AG63" i="3" s="1"/>
  <c r="AH61" i="3"/>
  <c r="AG61" i="3" s="1"/>
  <c r="AH60" i="3"/>
  <c r="AG60" i="3" s="1"/>
  <c r="AH62" i="3"/>
  <c r="AG62" i="3" s="1"/>
  <c r="AH59" i="3"/>
  <c r="AG59" i="3" s="1"/>
  <c r="AQ34" i="3"/>
  <c r="S90" i="3"/>
  <c r="AQ108" i="3"/>
  <c r="AQ91" i="3"/>
  <c r="AQ93" i="3"/>
  <c r="AQ97" i="3"/>
  <c r="AQ99" i="3"/>
  <c r="AQ101" i="3"/>
  <c r="AQ115" i="3"/>
  <c r="AQ117" i="3"/>
  <c r="AH54" i="3"/>
  <c r="AG54" i="3" s="1"/>
  <c r="AH53" i="3"/>
  <c r="AG53" i="3" s="1"/>
  <c r="AH55" i="3"/>
  <c r="AG55" i="3" s="1"/>
  <c r="M119" i="3"/>
  <c r="M123" i="3" s="1"/>
  <c r="L11" i="3"/>
  <c r="AN11" i="3"/>
  <c r="Z11" i="3"/>
  <c r="AQ44" i="2"/>
  <c r="AH120" i="2"/>
  <c r="AG120" i="2" s="1"/>
  <c r="T120" i="2"/>
  <c r="S120" i="2" s="1"/>
  <c r="AH119" i="2"/>
  <c r="AG119" i="2" s="1"/>
  <c r="T119" i="2"/>
  <c r="S119" i="2" s="1"/>
  <c r="AH118" i="2"/>
  <c r="AG118" i="2" s="1"/>
  <c r="T118" i="2"/>
  <c r="S118" i="2" s="1"/>
  <c r="AH117" i="2"/>
  <c r="AG117" i="2" s="1"/>
  <c r="T117" i="2"/>
  <c r="S117" i="2" s="1"/>
  <c r="AP125" i="2"/>
  <c r="AA120" i="2"/>
  <c r="Z120" i="2" s="1"/>
  <c r="M120" i="2"/>
  <c r="L120" i="2" s="1"/>
  <c r="AA119" i="2"/>
  <c r="Z119" i="2" s="1"/>
  <c r="M119" i="2"/>
  <c r="L119" i="2" s="1"/>
  <c r="AA118" i="2"/>
  <c r="Z118" i="2" s="1"/>
  <c r="M118" i="2"/>
  <c r="L118" i="2" s="1"/>
  <c r="AA117" i="2"/>
  <c r="Z117" i="2" s="1"/>
  <c r="M117" i="2"/>
  <c r="L117" i="2" s="1"/>
  <c r="AH114" i="2"/>
  <c r="AG114" i="2" s="1"/>
  <c r="T114" i="2"/>
  <c r="S114" i="2" s="1"/>
  <c r="AH113" i="2"/>
  <c r="AG113" i="2" s="1"/>
  <c r="T113" i="2"/>
  <c r="S113" i="2" s="1"/>
  <c r="AH112" i="2"/>
  <c r="AG112" i="2" s="1"/>
  <c r="T112" i="2"/>
  <c r="S112" i="2" s="1"/>
  <c r="AH111" i="2"/>
  <c r="AG111" i="2" s="1"/>
  <c r="T111" i="2"/>
  <c r="S111" i="2" s="1"/>
  <c r="AA106" i="2"/>
  <c r="Z106" i="2" s="1"/>
  <c r="M106" i="2"/>
  <c r="L106" i="2" s="1"/>
  <c r="AA105" i="2"/>
  <c r="Z105" i="2" s="1"/>
  <c r="M105" i="2"/>
  <c r="L105" i="2" s="1"/>
  <c r="AA104" i="2"/>
  <c r="Z104" i="2" s="1"/>
  <c r="M104" i="2"/>
  <c r="L104" i="2" s="1"/>
  <c r="AA103" i="2"/>
  <c r="Z103" i="2" s="1"/>
  <c r="M103" i="2"/>
  <c r="L103" i="2" s="1"/>
  <c r="AA102" i="2"/>
  <c r="Z102" i="2" s="1"/>
  <c r="M102" i="2"/>
  <c r="L102" i="2" s="1"/>
  <c r="AA101" i="2"/>
  <c r="Z101" i="2" s="1"/>
  <c r="M101" i="2"/>
  <c r="L101" i="2" s="1"/>
  <c r="AA100" i="2"/>
  <c r="Z100" i="2" s="1"/>
  <c r="M100" i="2"/>
  <c r="L100" i="2" s="1"/>
  <c r="AA99" i="2"/>
  <c r="Z99" i="2" s="1"/>
  <c r="M99" i="2"/>
  <c r="L99" i="2" s="1"/>
  <c r="AA98" i="2"/>
  <c r="Z98" i="2" s="1"/>
  <c r="M98" i="2"/>
  <c r="L98" i="2" s="1"/>
  <c r="AA97" i="2"/>
  <c r="Z97" i="2" s="1"/>
  <c r="M97" i="2"/>
  <c r="L97" i="2" s="1"/>
  <c r="AA96" i="2"/>
  <c r="Z96" i="2" s="1"/>
  <c r="M96" i="2"/>
  <c r="L96" i="2" s="1"/>
  <c r="AA95" i="2"/>
  <c r="Z95" i="2" s="1"/>
  <c r="M95" i="2"/>
  <c r="L95" i="2" s="1"/>
  <c r="AA94" i="2"/>
  <c r="Z94" i="2" s="1"/>
  <c r="M94" i="2"/>
  <c r="L94" i="2" s="1"/>
  <c r="AA93" i="2"/>
  <c r="M93" i="2"/>
  <c r="AA113" i="2"/>
  <c r="Z113" i="2" s="1"/>
  <c r="AA111" i="2"/>
  <c r="Z111" i="2" s="1"/>
  <c r="AH110" i="2"/>
  <c r="AG110" i="2" s="1"/>
  <c r="T109" i="2"/>
  <c r="S109" i="2" s="1"/>
  <c r="AA108" i="2"/>
  <c r="Z108" i="2" s="1"/>
  <c r="M107" i="2"/>
  <c r="L107" i="2" s="1"/>
  <c r="T106" i="2"/>
  <c r="S106" i="2" s="1"/>
  <c r="AH103" i="2"/>
  <c r="AG103" i="2" s="1"/>
  <c r="T102" i="2"/>
  <c r="S102" i="2" s="1"/>
  <c r="AH99" i="2"/>
  <c r="AG99" i="2" s="1"/>
  <c r="T98" i="2"/>
  <c r="S98" i="2" s="1"/>
  <c r="AH95" i="2"/>
  <c r="AG95" i="2" s="1"/>
  <c r="T94" i="2"/>
  <c r="S94" i="2" s="1"/>
  <c r="T115" i="2"/>
  <c r="S115" i="2" s="1"/>
  <c r="AH115" i="2"/>
  <c r="AG115" i="2" s="1"/>
  <c r="M115" i="2"/>
  <c r="L115" i="2" s="1"/>
  <c r="AA114" i="2"/>
  <c r="Z114" i="2" s="1"/>
  <c r="AA112" i="2"/>
  <c r="Z112" i="2" s="1"/>
  <c r="AA110" i="2"/>
  <c r="Z110" i="2" s="1"/>
  <c r="M109" i="2"/>
  <c r="L109" i="2" s="1"/>
  <c r="AH108" i="2"/>
  <c r="AG108" i="2" s="1"/>
  <c r="T107" i="2"/>
  <c r="S107" i="2" s="1"/>
  <c r="AH105" i="2"/>
  <c r="AG105" i="2" s="1"/>
  <c r="T104" i="2"/>
  <c r="S104" i="2" s="1"/>
  <c r="AH101" i="2"/>
  <c r="AG101" i="2" s="1"/>
  <c r="T100" i="2"/>
  <c r="S100" i="2" s="1"/>
  <c r="AH97" i="2"/>
  <c r="AG97" i="2" s="1"/>
  <c r="T96" i="2"/>
  <c r="S96" i="2" s="1"/>
  <c r="AH93" i="2"/>
  <c r="M111" i="2"/>
  <c r="L111" i="2" s="1"/>
  <c r="T110" i="2"/>
  <c r="S110" i="2" s="1"/>
  <c r="AH109" i="2"/>
  <c r="AG109" i="2" s="1"/>
  <c r="AH106" i="2"/>
  <c r="AG106" i="2" s="1"/>
  <c r="T103" i="2"/>
  <c r="S103" i="2" s="1"/>
  <c r="AH102" i="2"/>
  <c r="AG102" i="2" s="1"/>
  <c r="T99" i="2"/>
  <c r="S99" i="2" s="1"/>
  <c r="AH98" i="2"/>
  <c r="AG98" i="2" s="1"/>
  <c r="T95" i="2"/>
  <c r="S95" i="2" s="1"/>
  <c r="AH94" i="2"/>
  <c r="AG94" i="2" s="1"/>
  <c r="M114" i="2"/>
  <c r="L114" i="2" s="1"/>
  <c r="M110" i="2"/>
  <c r="L110" i="2" s="1"/>
  <c r="AA109" i="2"/>
  <c r="Z109" i="2" s="1"/>
  <c r="F125" i="2"/>
  <c r="AA115" i="2"/>
  <c r="Z115" i="2" s="1"/>
  <c r="M113" i="2"/>
  <c r="L113" i="2" s="1"/>
  <c r="T101" i="2"/>
  <c r="S101" i="2" s="1"/>
  <c r="AH107" i="2"/>
  <c r="AG107" i="2" s="1"/>
  <c r="T108" i="2"/>
  <c r="S108" i="2" s="1"/>
  <c r="AA107" i="2"/>
  <c r="Z107" i="2" s="1"/>
  <c r="M112" i="2"/>
  <c r="L112" i="2" s="1"/>
  <c r="M108" i="2"/>
  <c r="L108" i="2" s="1"/>
  <c r="AH104" i="2"/>
  <c r="AG104" i="2" s="1"/>
  <c r="AH100" i="2"/>
  <c r="AG100" i="2" s="1"/>
  <c r="AH96" i="2"/>
  <c r="AG96" i="2" s="1"/>
  <c r="T105" i="2"/>
  <c r="S105" i="2" s="1"/>
  <c r="T97" i="2"/>
  <c r="S97" i="2" s="1"/>
  <c r="T93" i="2"/>
  <c r="AH66" i="2"/>
  <c r="AG66" i="2" s="1"/>
  <c r="AH65" i="2"/>
  <c r="AG65" i="2" s="1"/>
  <c r="AH64" i="2"/>
  <c r="AG64" i="2" s="1"/>
  <c r="AH63" i="2"/>
  <c r="AG63" i="2" s="1"/>
  <c r="AH62" i="2"/>
  <c r="AG62" i="2" s="1"/>
  <c r="AH61" i="2"/>
  <c r="AG61" i="2" s="1"/>
  <c r="AA66" i="2"/>
  <c r="Z66" i="2" s="1"/>
  <c r="AA65" i="2"/>
  <c r="Z65" i="2" s="1"/>
  <c r="AA64" i="2"/>
  <c r="Z64" i="2" s="1"/>
  <c r="AA63" i="2"/>
  <c r="Z63" i="2" s="1"/>
  <c r="AA62" i="2"/>
  <c r="Z62" i="2" s="1"/>
  <c r="AA61" i="2"/>
  <c r="Z61" i="2" s="1"/>
  <c r="T66" i="2"/>
  <c r="S66" i="2" s="1"/>
  <c r="T65" i="2"/>
  <c r="S65" i="2" s="1"/>
  <c r="T64" i="2"/>
  <c r="S64" i="2" s="1"/>
  <c r="T63" i="2"/>
  <c r="S63" i="2" s="1"/>
  <c r="T62" i="2"/>
  <c r="S62" i="2" s="1"/>
  <c r="T61" i="2"/>
  <c r="S61" i="2" s="1"/>
  <c r="Z12" i="2"/>
  <c r="AA13" i="2"/>
  <c r="AO29" i="2"/>
  <c r="AA29" i="2"/>
  <c r="M29" i="2"/>
  <c r="AH29" i="2"/>
  <c r="T29" i="2"/>
  <c r="F122" i="2"/>
  <c r="F128" i="2" s="1"/>
  <c r="AG116" i="2"/>
  <c r="S116" i="2"/>
  <c r="AN116" i="2"/>
  <c r="Z116" i="2"/>
  <c r="L116" i="2"/>
  <c r="AN47" i="2"/>
  <c r="Z47" i="2"/>
  <c r="L47" i="2"/>
  <c r="S47" i="2"/>
  <c r="AG47" i="2"/>
  <c r="M66" i="2"/>
  <c r="L66" i="2" s="1"/>
  <c r="M65" i="2"/>
  <c r="L65" i="2" s="1"/>
  <c r="M64" i="2"/>
  <c r="L64" i="2" s="1"/>
  <c r="M63" i="2"/>
  <c r="L63" i="2" s="1"/>
  <c r="M62" i="2"/>
  <c r="L62" i="2" s="1"/>
  <c r="M61" i="2"/>
  <c r="L61" i="2" s="1"/>
  <c r="AQ35" i="2"/>
  <c r="AH13" i="2"/>
  <c r="AG12" i="2"/>
  <c r="L53" i="2"/>
  <c r="Z53" i="2"/>
  <c r="AN53" i="2"/>
  <c r="AG53" i="2"/>
  <c r="S53" i="2"/>
  <c r="AQ91" i="2"/>
  <c r="AQ40" i="2"/>
  <c r="AA58" i="2"/>
  <c r="Z58" i="2" s="1"/>
  <c r="AA56" i="2"/>
  <c r="Z56" i="2" s="1"/>
  <c r="AA57" i="2"/>
  <c r="Z57" i="2" s="1"/>
  <c r="AQ41" i="2"/>
  <c r="T13" i="2"/>
  <c r="S12" i="2"/>
  <c r="AQ52" i="2"/>
  <c r="AQ49" i="2"/>
  <c r="AN12" i="2"/>
  <c r="AO13" i="2"/>
  <c r="AO58" i="2"/>
  <c r="AN58" i="2" s="1"/>
  <c r="AO56" i="2"/>
  <c r="AO57" i="2"/>
  <c r="AN57" i="2" s="1"/>
  <c r="AH58" i="2"/>
  <c r="AG58" i="2" s="1"/>
  <c r="AH57" i="2"/>
  <c r="AG57" i="2" s="1"/>
  <c r="AH56" i="2"/>
  <c r="AO66" i="2"/>
  <c r="AN66" i="2" s="1"/>
  <c r="AO65" i="2"/>
  <c r="AN65" i="2" s="1"/>
  <c r="AO64" i="2"/>
  <c r="AN64" i="2" s="1"/>
  <c r="AO63" i="2"/>
  <c r="AN63" i="2" s="1"/>
  <c r="AO62" i="2"/>
  <c r="AN62" i="2" s="1"/>
  <c r="AO61" i="2"/>
  <c r="AN61" i="2" s="1"/>
  <c r="AQ37" i="2"/>
  <c r="M57" i="2"/>
  <c r="L57" i="2" s="1"/>
  <c r="M56" i="2"/>
  <c r="M58" i="2"/>
  <c r="L58" i="2" s="1"/>
  <c r="L56" i="2"/>
  <c r="S56" i="2"/>
  <c r="AN56" i="2"/>
  <c r="AG56" i="2"/>
  <c r="AQ50" i="2"/>
  <c r="M13" i="2"/>
  <c r="L12" i="2"/>
  <c r="AQ45" i="1"/>
  <c r="AQ35" i="1"/>
  <c r="AQ52" i="1"/>
  <c r="AQ38" i="1"/>
  <c r="T29" i="1"/>
  <c r="AH29" i="1"/>
  <c r="AO29" i="1"/>
  <c r="AA29" i="1"/>
  <c r="M29" i="1"/>
  <c r="F122" i="1"/>
  <c r="F128" i="1" s="1"/>
  <c r="AO61" i="1"/>
  <c r="AN61" i="1" s="1"/>
  <c r="AO63" i="1"/>
  <c r="AN63" i="1" s="1"/>
  <c r="AO65" i="1"/>
  <c r="AN65" i="1" s="1"/>
  <c r="AO66" i="1"/>
  <c r="AN66" i="1" s="1"/>
  <c r="AO64" i="1"/>
  <c r="AN64" i="1" s="1"/>
  <c r="AO62" i="1"/>
  <c r="AN62" i="1" s="1"/>
  <c r="T93" i="1"/>
  <c r="AH94" i="1"/>
  <c r="AG94" i="1" s="1"/>
  <c r="T95" i="1"/>
  <c r="S95" i="1" s="1"/>
  <c r="AH96" i="1"/>
  <c r="AG96" i="1" s="1"/>
  <c r="AA97" i="1"/>
  <c r="Z97" i="1" s="1"/>
  <c r="T99" i="1"/>
  <c r="S99" i="1" s="1"/>
  <c r="M100" i="1"/>
  <c r="L100" i="1" s="1"/>
  <c r="AA100" i="1"/>
  <c r="Z100" i="1" s="1"/>
  <c r="M101" i="1"/>
  <c r="L101" i="1" s="1"/>
  <c r="AA101" i="1"/>
  <c r="Z101" i="1" s="1"/>
  <c r="M102" i="1"/>
  <c r="L102" i="1" s="1"/>
  <c r="AA102" i="1"/>
  <c r="Z102" i="1" s="1"/>
  <c r="M103" i="1"/>
  <c r="L103" i="1" s="1"/>
  <c r="AA103" i="1"/>
  <c r="Z103" i="1" s="1"/>
  <c r="M104" i="1"/>
  <c r="L104" i="1" s="1"/>
  <c r="AA104" i="1"/>
  <c r="Z104" i="1" s="1"/>
  <c r="M105" i="1"/>
  <c r="L105" i="1" s="1"/>
  <c r="AA105" i="1"/>
  <c r="Z105" i="1" s="1"/>
  <c r="M106" i="1"/>
  <c r="L106" i="1" s="1"/>
  <c r="AA106" i="1"/>
  <c r="Z106" i="1" s="1"/>
  <c r="T111" i="1"/>
  <c r="S111" i="1" s="1"/>
  <c r="AH111" i="1"/>
  <c r="AG111" i="1" s="1"/>
  <c r="T112" i="1"/>
  <c r="S112" i="1" s="1"/>
  <c r="AH112" i="1"/>
  <c r="AG112" i="1" s="1"/>
  <c r="T113" i="1"/>
  <c r="S113" i="1" s="1"/>
  <c r="AH113" i="1"/>
  <c r="AG113" i="1" s="1"/>
  <c r="T114" i="1"/>
  <c r="S114" i="1" s="1"/>
  <c r="AH114" i="1"/>
  <c r="AG114" i="1" s="1"/>
  <c r="M117" i="1"/>
  <c r="L117" i="1" s="1"/>
  <c r="AA117" i="1"/>
  <c r="Z117" i="1" s="1"/>
  <c r="AA93" i="1"/>
  <c r="M94" i="1"/>
  <c r="L94" i="1" s="1"/>
  <c r="AA95" i="1"/>
  <c r="Z95" i="1" s="1"/>
  <c r="M96" i="1"/>
  <c r="L96" i="1" s="1"/>
  <c r="M97" i="1"/>
  <c r="L97" i="1" s="1"/>
  <c r="AH97" i="1"/>
  <c r="AG97" i="1" s="1"/>
  <c r="AA98" i="1"/>
  <c r="Z98" i="1" s="1"/>
  <c r="M107" i="1"/>
  <c r="L107" i="1" s="1"/>
  <c r="AA107" i="1"/>
  <c r="Z107" i="1" s="1"/>
  <c r="M108" i="1"/>
  <c r="L108" i="1" s="1"/>
  <c r="AA108" i="1"/>
  <c r="Z108" i="1" s="1"/>
  <c r="M109" i="1"/>
  <c r="L109" i="1" s="1"/>
  <c r="AA109" i="1"/>
  <c r="Z109" i="1" s="1"/>
  <c r="M110" i="1"/>
  <c r="L110" i="1" s="1"/>
  <c r="AA110" i="1"/>
  <c r="Z110" i="1" s="1"/>
  <c r="T115" i="1"/>
  <c r="S115" i="1" s="1"/>
  <c r="AH115" i="1"/>
  <c r="AG115" i="1" s="1"/>
  <c r="AH98" i="1"/>
  <c r="AG98" i="1" s="1"/>
  <c r="M99" i="1"/>
  <c r="L99" i="1" s="1"/>
  <c r="T107" i="1"/>
  <c r="S107" i="1" s="1"/>
  <c r="AH108" i="1"/>
  <c r="AG108" i="1" s="1"/>
  <c r="T109" i="1"/>
  <c r="S109" i="1" s="1"/>
  <c r="AH110" i="1"/>
  <c r="AG110" i="1" s="1"/>
  <c r="AA112" i="1"/>
  <c r="Z112" i="1" s="1"/>
  <c r="M114" i="1"/>
  <c r="L114" i="1" s="1"/>
  <c r="M115" i="1"/>
  <c r="L115" i="1" s="1"/>
  <c r="M118" i="1"/>
  <c r="L118" i="1" s="1"/>
  <c r="AH118" i="1"/>
  <c r="AG118" i="1" s="1"/>
  <c r="AA119" i="1"/>
  <c r="Z119" i="1" s="1"/>
  <c r="T103" i="1"/>
  <c r="S103" i="1" s="1"/>
  <c r="M111" i="1"/>
  <c r="L111" i="1" s="1"/>
  <c r="AA113" i="1"/>
  <c r="Z113" i="1" s="1"/>
  <c r="AP125" i="1"/>
  <c r="M95" i="1"/>
  <c r="L95" i="1" s="1"/>
  <c r="T96" i="1"/>
  <c r="S96" i="1" s="1"/>
  <c r="T97" i="1"/>
  <c r="S97" i="1" s="1"/>
  <c r="AA99" i="1"/>
  <c r="Z99" i="1" s="1"/>
  <c r="T100" i="1"/>
  <c r="S100" i="1" s="1"/>
  <c r="AH101" i="1"/>
  <c r="AG101" i="1" s="1"/>
  <c r="T102" i="1"/>
  <c r="S102" i="1" s="1"/>
  <c r="AH103" i="1"/>
  <c r="AG103" i="1" s="1"/>
  <c r="T104" i="1"/>
  <c r="S104" i="1" s="1"/>
  <c r="AH105" i="1"/>
  <c r="AG105" i="1" s="1"/>
  <c r="T106" i="1"/>
  <c r="S106" i="1" s="1"/>
  <c r="AA111" i="1"/>
  <c r="Z111" i="1" s="1"/>
  <c r="M113" i="1"/>
  <c r="L113" i="1" s="1"/>
  <c r="T117" i="1"/>
  <c r="S117" i="1" s="1"/>
  <c r="T118" i="1"/>
  <c r="S118" i="1" s="1"/>
  <c r="M119" i="1"/>
  <c r="L119" i="1" s="1"/>
  <c r="AH119" i="1"/>
  <c r="AG119" i="1" s="1"/>
  <c r="AA120" i="1"/>
  <c r="Z120" i="1" s="1"/>
  <c r="M93" i="1"/>
  <c r="T94" i="1"/>
  <c r="S94" i="1" s="1"/>
  <c r="AH95" i="1"/>
  <c r="AG95" i="1" s="1"/>
  <c r="AA96" i="1"/>
  <c r="Z96" i="1" s="1"/>
  <c r="M98" i="1"/>
  <c r="L98" i="1" s="1"/>
  <c r="AH99" i="1"/>
  <c r="AG99" i="1" s="1"/>
  <c r="AH107" i="1"/>
  <c r="AG107" i="1" s="1"/>
  <c r="T108" i="1"/>
  <c r="S108" i="1" s="1"/>
  <c r="AH109" i="1"/>
  <c r="AG109" i="1" s="1"/>
  <c r="T110" i="1"/>
  <c r="S110" i="1" s="1"/>
  <c r="M112" i="1"/>
  <c r="L112" i="1" s="1"/>
  <c r="AA114" i="1"/>
  <c r="Z114" i="1" s="1"/>
  <c r="AA115" i="1"/>
  <c r="Z115" i="1" s="1"/>
  <c r="T119" i="1"/>
  <c r="S119" i="1" s="1"/>
  <c r="M120" i="1"/>
  <c r="L120" i="1" s="1"/>
  <c r="AH120" i="1"/>
  <c r="AG120" i="1" s="1"/>
  <c r="F125" i="1"/>
  <c r="AH93" i="1"/>
  <c r="AA94" i="1"/>
  <c r="Z94" i="1" s="1"/>
  <c r="T98" i="1"/>
  <c r="S98" i="1" s="1"/>
  <c r="AH100" i="1"/>
  <c r="AG100" i="1" s="1"/>
  <c r="T101" i="1"/>
  <c r="S101" i="1" s="1"/>
  <c r="AH102" i="1"/>
  <c r="AG102" i="1" s="1"/>
  <c r="AH104" i="1"/>
  <c r="AG104" i="1" s="1"/>
  <c r="T105" i="1"/>
  <c r="S105" i="1" s="1"/>
  <c r="AH106" i="1"/>
  <c r="AG106" i="1" s="1"/>
  <c r="AH117" i="1"/>
  <c r="AG117" i="1" s="1"/>
  <c r="AA118" i="1"/>
  <c r="Z118" i="1" s="1"/>
  <c r="T120" i="1"/>
  <c r="S120" i="1" s="1"/>
  <c r="AO56" i="1"/>
  <c r="AO57" i="1"/>
  <c r="AN57" i="1" s="1"/>
  <c r="AO58" i="1"/>
  <c r="AN58" i="1" s="1"/>
  <c r="S53" i="1"/>
  <c r="AG53" i="1"/>
  <c r="L53" i="1"/>
  <c r="Z53" i="1"/>
  <c r="AN53" i="1"/>
  <c r="AQ44" i="1"/>
  <c r="AQ13" i="1"/>
  <c r="G54" i="1"/>
  <c r="AQ47" i="1"/>
  <c r="M57" i="1"/>
  <c r="L57" i="1" s="1"/>
  <c r="M56" i="1"/>
  <c r="M58" i="1"/>
  <c r="L58" i="1" s="1"/>
  <c r="AQ46" i="1"/>
  <c r="AQ37" i="1"/>
  <c r="AQ40" i="1"/>
  <c r="L56" i="1"/>
  <c r="AN56" i="1"/>
  <c r="AH56" i="1"/>
  <c r="AG56" i="1" s="1"/>
  <c r="AH57" i="1"/>
  <c r="AG57" i="1" s="1"/>
  <c r="AH58" i="1"/>
  <c r="AG58" i="1" s="1"/>
  <c r="AA58" i="1"/>
  <c r="Z58" i="1" s="1"/>
  <c r="AA57" i="1"/>
  <c r="Z57" i="1" s="1"/>
  <c r="AA56" i="1"/>
  <c r="Z56" i="1" s="1"/>
  <c r="AQ50" i="1"/>
  <c r="AA62" i="1"/>
  <c r="Z62" i="1" s="1"/>
  <c r="AQ62" i="1" s="1"/>
  <c r="AA64" i="1"/>
  <c r="Z64" i="1" s="1"/>
  <c r="AQ64" i="1" s="1"/>
  <c r="AA66" i="1"/>
  <c r="Z66" i="1" s="1"/>
  <c r="AA65" i="1"/>
  <c r="Z65" i="1" s="1"/>
  <c r="AQ65" i="1" s="1"/>
  <c r="AA63" i="1"/>
  <c r="Z63" i="1" s="1"/>
  <c r="AQ63" i="1" s="1"/>
  <c r="AA61" i="1"/>
  <c r="Z61" i="1" s="1"/>
  <c r="AQ61" i="1" s="1"/>
  <c r="AQ69" i="1"/>
  <c r="L91" i="1"/>
  <c r="AQ91" i="1" s="1"/>
  <c r="T56" i="1"/>
  <c r="S56" i="1" s="1"/>
  <c r="T57" i="1"/>
  <c r="S57" i="1" s="1"/>
  <c r="T58" i="1"/>
  <c r="S58" i="1" s="1"/>
  <c r="AQ66" i="1"/>
  <c r="AQ12" i="4" l="1"/>
  <c r="AQ116" i="2"/>
  <c r="AQ53" i="1"/>
  <c r="AQ15" i="5"/>
  <c r="AQ23" i="5"/>
  <c r="AQ19" i="5"/>
  <c r="AQ22" i="5"/>
  <c r="AQ24" i="5"/>
  <c r="AQ27" i="5"/>
  <c r="AQ63" i="4"/>
  <c r="AQ10" i="3"/>
  <c r="AQ55" i="3"/>
  <c r="AQ13" i="5"/>
  <c r="AQ17" i="5"/>
  <c r="AQ25" i="5"/>
  <c r="AQ63" i="5"/>
  <c r="AQ54" i="5"/>
  <c r="AO112" i="5"/>
  <c r="AN112" i="5" s="1"/>
  <c r="AO111" i="5"/>
  <c r="AN111" i="5" s="1"/>
  <c r="AQ111" i="5" s="1"/>
  <c r="AO110" i="5"/>
  <c r="AN110" i="5" s="1"/>
  <c r="AQ110" i="5" s="1"/>
  <c r="AO109" i="5"/>
  <c r="AN109" i="5" s="1"/>
  <c r="AO108" i="5"/>
  <c r="AN108" i="5" s="1"/>
  <c r="AO107" i="5"/>
  <c r="AN107" i="5" s="1"/>
  <c r="AQ107" i="5" s="1"/>
  <c r="AO106" i="5"/>
  <c r="AN106" i="5" s="1"/>
  <c r="AO105" i="5"/>
  <c r="AN105" i="5" s="1"/>
  <c r="AQ105" i="5" s="1"/>
  <c r="AO118" i="5"/>
  <c r="AN118" i="5" s="1"/>
  <c r="AO117" i="5"/>
  <c r="AN117" i="5" s="1"/>
  <c r="AQ117" i="5" s="1"/>
  <c r="AO116" i="5"/>
  <c r="AN116" i="5" s="1"/>
  <c r="AO115" i="5"/>
  <c r="AN115" i="5" s="1"/>
  <c r="AQ115" i="5" s="1"/>
  <c r="AO104" i="5"/>
  <c r="AN104" i="5" s="1"/>
  <c r="AO103" i="5"/>
  <c r="AN103" i="5" s="1"/>
  <c r="AQ103" i="5" s="1"/>
  <c r="AO102" i="5"/>
  <c r="AN102" i="5" s="1"/>
  <c r="AQ102" i="5" s="1"/>
  <c r="AO101" i="5"/>
  <c r="AN101" i="5" s="1"/>
  <c r="AQ101" i="5" s="1"/>
  <c r="AO100" i="5"/>
  <c r="AN100" i="5" s="1"/>
  <c r="AO99" i="5"/>
  <c r="AN99" i="5" s="1"/>
  <c r="AQ99" i="5" s="1"/>
  <c r="AO98" i="5"/>
  <c r="AN98" i="5" s="1"/>
  <c r="AQ98" i="5" s="1"/>
  <c r="AO97" i="5"/>
  <c r="AN97" i="5" s="1"/>
  <c r="AQ97" i="5" s="1"/>
  <c r="AO96" i="5"/>
  <c r="AN96" i="5" s="1"/>
  <c r="AO95" i="5"/>
  <c r="AN95" i="5" s="1"/>
  <c r="AQ95" i="5" s="1"/>
  <c r="AO94" i="5"/>
  <c r="AN94" i="5" s="1"/>
  <c r="AO93" i="5"/>
  <c r="AN93" i="5" s="1"/>
  <c r="AQ93" i="5" s="1"/>
  <c r="AO92" i="5"/>
  <c r="AN92" i="5" s="1"/>
  <c r="AO91" i="5"/>
  <c r="AO113" i="5"/>
  <c r="AN113" i="5" s="1"/>
  <c r="AQ113" i="5" s="1"/>
  <c r="AH119" i="5"/>
  <c r="AH120" i="5" s="1"/>
  <c r="AH124" i="5" s="1"/>
  <c r="AG91" i="5"/>
  <c r="AQ50" i="5"/>
  <c r="AQ20" i="5"/>
  <c r="AQ21" i="5"/>
  <c r="AQ26" i="5"/>
  <c r="AQ60" i="5"/>
  <c r="AQ64" i="5"/>
  <c r="AQ55" i="5"/>
  <c r="AA119" i="5"/>
  <c r="AA120" i="5" s="1"/>
  <c r="AA124" i="5" s="1"/>
  <c r="Z91" i="5"/>
  <c r="AQ112" i="5"/>
  <c r="AQ92" i="5"/>
  <c r="AQ96" i="5"/>
  <c r="AQ100" i="5"/>
  <c r="AQ104" i="5"/>
  <c r="AQ116" i="5"/>
  <c r="AQ16" i="5"/>
  <c r="AQ62" i="5"/>
  <c r="AQ106" i="5"/>
  <c r="AQ108" i="5"/>
  <c r="T119" i="5"/>
  <c r="T120" i="5" s="1"/>
  <c r="T124" i="5" s="1"/>
  <c r="S91" i="5"/>
  <c r="AQ109" i="5"/>
  <c r="AQ61" i="5"/>
  <c r="AQ56" i="5"/>
  <c r="AQ94" i="5"/>
  <c r="AQ118" i="5"/>
  <c r="AQ18" i="5"/>
  <c r="AQ59" i="5"/>
  <c r="M119" i="5"/>
  <c r="M120" i="5" s="1"/>
  <c r="M124" i="5" s="1"/>
  <c r="L91" i="5"/>
  <c r="T121" i="4"/>
  <c r="S93" i="4"/>
  <c r="T23" i="4"/>
  <c r="S23" i="4" s="1"/>
  <c r="T22" i="4"/>
  <c r="S22" i="4" s="1"/>
  <c r="T21" i="4"/>
  <c r="S21" i="4" s="1"/>
  <c r="T18" i="4"/>
  <c r="S18" i="4" s="1"/>
  <c r="T17" i="4"/>
  <c r="S17" i="4" s="1"/>
  <c r="T16" i="4"/>
  <c r="S16" i="4" s="1"/>
  <c r="T15" i="4"/>
  <c r="S15" i="4" s="1"/>
  <c r="T20" i="4"/>
  <c r="S20" i="4" s="1"/>
  <c r="T28" i="4"/>
  <c r="S28" i="4" s="1"/>
  <c r="T27" i="4"/>
  <c r="S27" i="4" s="1"/>
  <c r="T26" i="4"/>
  <c r="S26" i="4" s="1"/>
  <c r="T25" i="4"/>
  <c r="S25" i="4" s="1"/>
  <c r="T19" i="4"/>
  <c r="T24" i="4"/>
  <c r="S24" i="4" s="1"/>
  <c r="T122" i="4"/>
  <c r="T126" i="4" s="1"/>
  <c r="AH23" i="4"/>
  <c r="AG23" i="4" s="1"/>
  <c r="AH22" i="4"/>
  <c r="AG22" i="4" s="1"/>
  <c r="AH21" i="4"/>
  <c r="AG21" i="4" s="1"/>
  <c r="AH18" i="4"/>
  <c r="AG18" i="4" s="1"/>
  <c r="AH17" i="4"/>
  <c r="AG17" i="4" s="1"/>
  <c r="AH16" i="4"/>
  <c r="AG16" i="4" s="1"/>
  <c r="AH15" i="4"/>
  <c r="AG15" i="4" s="1"/>
  <c r="AH20" i="4"/>
  <c r="AG20" i="4" s="1"/>
  <c r="AH19" i="4"/>
  <c r="AH28" i="4"/>
  <c r="AG28" i="4" s="1"/>
  <c r="AH27" i="4"/>
  <c r="AG27" i="4" s="1"/>
  <c r="AH26" i="4"/>
  <c r="AG26" i="4" s="1"/>
  <c r="AH25" i="4"/>
  <c r="AG25" i="4" s="1"/>
  <c r="AH24" i="4"/>
  <c r="AG24" i="4" s="1"/>
  <c r="AQ56" i="4"/>
  <c r="AQ64" i="4"/>
  <c r="AO114" i="4"/>
  <c r="AN114" i="4" s="1"/>
  <c r="AO113" i="4"/>
  <c r="AN113" i="4" s="1"/>
  <c r="AQ113" i="4" s="1"/>
  <c r="AO112" i="4"/>
  <c r="AN112" i="4" s="1"/>
  <c r="AO111" i="4"/>
  <c r="AN111" i="4" s="1"/>
  <c r="AO110" i="4"/>
  <c r="AN110" i="4" s="1"/>
  <c r="AO109" i="4"/>
  <c r="AN109" i="4" s="1"/>
  <c r="AO108" i="4"/>
  <c r="AN108" i="4" s="1"/>
  <c r="AQ108" i="4" s="1"/>
  <c r="AO107" i="4"/>
  <c r="AN107" i="4" s="1"/>
  <c r="AO120" i="4"/>
  <c r="AN120" i="4" s="1"/>
  <c r="AO119" i="4"/>
  <c r="AN119" i="4" s="1"/>
  <c r="AQ119" i="4" s="1"/>
  <c r="AO118" i="4"/>
  <c r="AN118" i="4" s="1"/>
  <c r="AO117" i="4"/>
  <c r="AN117" i="4" s="1"/>
  <c r="AQ117" i="4" s="1"/>
  <c r="AO106" i="4"/>
  <c r="AN106" i="4" s="1"/>
  <c r="AO105" i="4"/>
  <c r="AN105" i="4" s="1"/>
  <c r="AQ105" i="4" s="1"/>
  <c r="AO104" i="4"/>
  <c r="AN104" i="4" s="1"/>
  <c r="AO103" i="4"/>
  <c r="AN103" i="4" s="1"/>
  <c r="AQ103" i="4" s="1"/>
  <c r="AO102" i="4"/>
  <c r="AN102" i="4" s="1"/>
  <c r="AO101" i="4"/>
  <c r="AN101" i="4" s="1"/>
  <c r="AQ101" i="4" s="1"/>
  <c r="AO100" i="4"/>
  <c r="AN100" i="4" s="1"/>
  <c r="AO99" i="4"/>
  <c r="AN99" i="4" s="1"/>
  <c r="AQ99" i="4" s="1"/>
  <c r="AO98" i="4"/>
  <c r="AN98" i="4" s="1"/>
  <c r="AO97" i="4"/>
  <c r="AN97" i="4" s="1"/>
  <c r="AQ97" i="4" s="1"/>
  <c r="AO96" i="4"/>
  <c r="AN96" i="4" s="1"/>
  <c r="AO95" i="4"/>
  <c r="AN95" i="4" s="1"/>
  <c r="AQ95" i="4" s="1"/>
  <c r="AO94" i="4"/>
  <c r="AN94" i="4" s="1"/>
  <c r="AO93" i="4"/>
  <c r="AO115" i="4"/>
  <c r="AN115" i="4" s="1"/>
  <c r="AQ115" i="4" s="1"/>
  <c r="AH121" i="4"/>
  <c r="AH122" i="4" s="1"/>
  <c r="AH126" i="4" s="1"/>
  <c r="AG93" i="4"/>
  <c r="AO28" i="4"/>
  <c r="AN28" i="4" s="1"/>
  <c r="AO27" i="4"/>
  <c r="AN27" i="4" s="1"/>
  <c r="AO26" i="4"/>
  <c r="AN26" i="4" s="1"/>
  <c r="AO25" i="4"/>
  <c r="AN25" i="4" s="1"/>
  <c r="AO19" i="4"/>
  <c r="AO24" i="4"/>
  <c r="AN24" i="4" s="1"/>
  <c r="AO23" i="4"/>
  <c r="AN23" i="4" s="1"/>
  <c r="AO22" i="4"/>
  <c r="AN22" i="4" s="1"/>
  <c r="AO21" i="4"/>
  <c r="AN21" i="4" s="1"/>
  <c r="AO18" i="4"/>
  <c r="AN18" i="4" s="1"/>
  <c r="AO17" i="4"/>
  <c r="AN17" i="4" s="1"/>
  <c r="AO16" i="4"/>
  <c r="AN16" i="4" s="1"/>
  <c r="AO15" i="4"/>
  <c r="AN15" i="4" s="1"/>
  <c r="AO20" i="4"/>
  <c r="AN20" i="4" s="1"/>
  <c r="AQ111" i="4"/>
  <c r="M28" i="4"/>
  <c r="L28" i="4" s="1"/>
  <c r="M27" i="4"/>
  <c r="L27" i="4" s="1"/>
  <c r="M26" i="4"/>
  <c r="L26" i="4" s="1"/>
  <c r="M25" i="4"/>
  <c r="L25" i="4" s="1"/>
  <c r="M19" i="4"/>
  <c r="M24" i="4"/>
  <c r="L24" i="4" s="1"/>
  <c r="M23" i="4"/>
  <c r="L23" i="4" s="1"/>
  <c r="M22" i="4"/>
  <c r="L22" i="4" s="1"/>
  <c r="M21" i="4"/>
  <c r="L21" i="4" s="1"/>
  <c r="M18" i="4"/>
  <c r="L18" i="4" s="1"/>
  <c r="M17" i="4"/>
  <c r="L17" i="4" s="1"/>
  <c r="M15" i="4"/>
  <c r="L15" i="4" s="1"/>
  <c r="M20" i="4"/>
  <c r="L20" i="4" s="1"/>
  <c r="M16" i="4"/>
  <c r="L16" i="4" s="1"/>
  <c r="AQ57" i="4"/>
  <c r="AQ61" i="4"/>
  <c r="AQ65" i="4"/>
  <c r="M121" i="4"/>
  <c r="M122" i="4" s="1"/>
  <c r="M126" i="4" s="1"/>
  <c r="L93" i="4"/>
  <c r="AA121" i="4"/>
  <c r="AA122" i="4" s="1"/>
  <c r="AA126" i="4" s="1"/>
  <c r="Z93" i="4"/>
  <c r="AQ107" i="4"/>
  <c r="AQ109" i="4"/>
  <c r="AQ112" i="4"/>
  <c r="AQ114" i="4"/>
  <c r="AQ13" i="4"/>
  <c r="AQ110" i="4"/>
  <c r="AA28" i="4"/>
  <c r="Z28" i="4" s="1"/>
  <c r="AA27" i="4"/>
  <c r="Z27" i="4" s="1"/>
  <c r="AA26" i="4"/>
  <c r="Z26" i="4" s="1"/>
  <c r="AA25" i="4"/>
  <c r="Z25" i="4" s="1"/>
  <c r="AA24" i="4"/>
  <c r="Z24" i="4" s="1"/>
  <c r="AA23" i="4"/>
  <c r="Z23" i="4" s="1"/>
  <c r="AA22" i="4"/>
  <c r="Z22" i="4" s="1"/>
  <c r="AA21" i="4"/>
  <c r="Z21" i="4" s="1"/>
  <c r="AA19" i="4"/>
  <c r="AA18" i="4"/>
  <c r="Z18" i="4" s="1"/>
  <c r="AA17" i="4"/>
  <c r="Z17" i="4" s="1"/>
  <c r="AA16" i="4"/>
  <c r="Z16" i="4" s="1"/>
  <c r="AA20" i="4"/>
  <c r="Z20" i="4" s="1"/>
  <c r="AA15" i="4"/>
  <c r="Z15" i="4" s="1"/>
  <c r="AQ58" i="4"/>
  <c r="AQ52" i="4"/>
  <c r="AQ62" i="4"/>
  <c r="AQ66" i="4"/>
  <c r="AQ94" i="4"/>
  <c r="AQ96" i="4"/>
  <c r="AQ98" i="4"/>
  <c r="AQ100" i="4"/>
  <c r="AQ102" i="4"/>
  <c r="AQ104" i="4"/>
  <c r="AQ106" i="4"/>
  <c r="AQ118" i="4"/>
  <c r="AQ120" i="4"/>
  <c r="AQ47" i="4"/>
  <c r="AA21" i="3"/>
  <c r="Z21" i="3" s="1"/>
  <c r="AA26" i="3"/>
  <c r="Z26" i="3" s="1"/>
  <c r="AA25" i="3"/>
  <c r="Z25" i="3" s="1"/>
  <c r="AA23" i="3"/>
  <c r="Z23" i="3" s="1"/>
  <c r="AA20" i="3"/>
  <c r="Z20" i="3" s="1"/>
  <c r="AA15" i="3"/>
  <c r="Z15" i="3" s="1"/>
  <c r="AA17" i="3"/>
  <c r="AA22" i="3"/>
  <c r="Z22" i="3" s="1"/>
  <c r="AA24" i="3"/>
  <c r="Z24" i="3" s="1"/>
  <c r="AA19" i="3"/>
  <c r="Z19" i="3" s="1"/>
  <c r="AA13" i="3"/>
  <c r="Z13" i="3" s="1"/>
  <c r="AA16" i="3"/>
  <c r="Z16" i="3" s="1"/>
  <c r="AA18" i="3"/>
  <c r="Z18" i="3" s="1"/>
  <c r="AA14" i="3"/>
  <c r="Z14" i="3" s="1"/>
  <c r="AO118" i="3"/>
  <c r="AN90" i="3"/>
  <c r="AQ90" i="3" s="1"/>
  <c r="T119" i="3"/>
  <c r="T123" i="3" s="1"/>
  <c r="S11" i="3"/>
  <c r="AQ11" i="3" s="1"/>
  <c r="AQ63" i="3"/>
  <c r="AO21" i="3"/>
  <c r="AN21" i="3" s="1"/>
  <c r="AO20" i="3"/>
  <c r="AN20" i="3" s="1"/>
  <c r="AO25" i="3"/>
  <c r="AN25" i="3" s="1"/>
  <c r="AO23" i="3"/>
  <c r="AN23" i="3" s="1"/>
  <c r="AO19" i="3"/>
  <c r="AN19" i="3" s="1"/>
  <c r="AO22" i="3"/>
  <c r="AN22" i="3" s="1"/>
  <c r="AO17" i="3"/>
  <c r="AO24" i="3"/>
  <c r="AN24" i="3" s="1"/>
  <c r="AO15" i="3"/>
  <c r="AN15" i="3" s="1"/>
  <c r="AO26" i="3"/>
  <c r="AN26" i="3" s="1"/>
  <c r="AO18" i="3"/>
  <c r="AN18" i="3" s="1"/>
  <c r="AO14" i="3"/>
  <c r="AN14" i="3" s="1"/>
  <c r="AO13" i="3"/>
  <c r="AN13" i="3" s="1"/>
  <c r="AO16" i="3"/>
  <c r="AN16" i="3" s="1"/>
  <c r="AA119" i="3"/>
  <c r="AA123" i="3" s="1"/>
  <c r="AQ62" i="3"/>
  <c r="AQ59" i="3"/>
  <c r="AQ54" i="3"/>
  <c r="M21" i="3"/>
  <c r="L21" i="3" s="1"/>
  <c r="M26" i="3"/>
  <c r="L26" i="3" s="1"/>
  <c r="M24" i="3"/>
  <c r="L24" i="3" s="1"/>
  <c r="M22" i="3"/>
  <c r="L22" i="3" s="1"/>
  <c r="M20" i="3"/>
  <c r="L20" i="3" s="1"/>
  <c r="M14" i="3"/>
  <c r="L14" i="3" s="1"/>
  <c r="M25" i="3"/>
  <c r="L25" i="3" s="1"/>
  <c r="M16" i="3"/>
  <c r="L16" i="3" s="1"/>
  <c r="M17" i="3"/>
  <c r="M15" i="3"/>
  <c r="L15" i="3" s="1"/>
  <c r="M18" i="3"/>
  <c r="L18" i="3" s="1"/>
  <c r="M23" i="3"/>
  <c r="L23" i="3" s="1"/>
  <c r="M19" i="3"/>
  <c r="L19" i="3" s="1"/>
  <c r="M13" i="3"/>
  <c r="L13" i="3" s="1"/>
  <c r="AQ58" i="3"/>
  <c r="AQ61" i="3"/>
  <c r="AQ60" i="3"/>
  <c r="T26" i="3"/>
  <c r="S26" i="3" s="1"/>
  <c r="T25" i="3"/>
  <c r="S25" i="3" s="1"/>
  <c r="T24" i="3"/>
  <c r="S24" i="3" s="1"/>
  <c r="T23" i="3"/>
  <c r="S23" i="3" s="1"/>
  <c r="T18" i="3"/>
  <c r="S18" i="3" s="1"/>
  <c r="T21" i="3"/>
  <c r="S21" i="3" s="1"/>
  <c r="T19" i="3"/>
  <c r="S19" i="3" s="1"/>
  <c r="T13" i="3"/>
  <c r="S13" i="3" s="1"/>
  <c r="T20" i="3"/>
  <c r="S20" i="3" s="1"/>
  <c r="T16" i="3"/>
  <c r="S16" i="3" s="1"/>
  <c r="T22" i="3"/>
  <c r="S22" i="3" s="1"/>
  <c r="T17" i="3"/>
  <c r="T15" i="3"/>
  <c r="S15" i="3" s="1"/>
  <c r="T14" i="3"/>
  <c r="S14" i="3" s="1"/>
  <c r="AQ53" i="3"/>
  <c r="AO119" i="3"/>
  <c r="AO123" i="3" s="1"/>
  <c r="AH26" i="3"/>
  <c r="AG26" i="3" s="1"/>
  <c r="AH25" i="3"/>
  <c r="AG25" i="3" s="1"/>
  <c r="AH24" i="3"/>
  <c r="AG24" i="3" s="1"/>
  <c r="AH23" i="3"/>
  <c r="AG23" i="3" s="1"/>
  <c r="AH22" i="3"/>
  <c r="AG22" i="3" s="1"/>
  <c r="AH18" i="3"/>
  <c r="AG18" i="3" s="1"/>
  <c r="AH17" i="3"/>
  <c r="AH21" i="3"/>
  <c r="AG21" i="3" s="1"/>
  <c r="AH19" i="3"/>
  <c r="AG19" i="3" s="1"/>
  <c r="AH13" i="3"/>
  <c r="AG13" i="3" s="1"/>
  <c r="AH16" i="3"/>
  <c r="AG16" i="3" s="1"/>
  <c r="AH20" i="3"/>
  <c r="AG20" i="3" s="1"/>
  <c r="AH15" i="3"/>
  <c r="AG15" i="3" s="1"/>
  <c r="AH14" i="3"/>
  <c r="AG14" i="3" s="1"/>
  <c r="L13" i="2"/>
  <c r="S13" i="2"/>
  <c r="AQ62" i="2"/>
  <c r="AQ66" i="2"/>
  <c r="T20" i="2"/>
  <c r="S20" i="2" s="1"/>
  <c r="T26" i="2"/>
  <c r="S26" i="2" s="1"/>
  <c r="T25" i="2"/>
  <c r="S25" i="2" s="1"/>
  <c r="T23" i="2"/>
  <c r="S23" i="2" s="1"/>
  <c r="T19" i="2"/>
  <c r="T28" i="2"/>
  <c r="S28" i="2" s="1"/>
  <c r="T22" i="2"/>
  <c r="S22" i="2" s="1"/>
  <c r="T27" i="2"/>
  <c r="S27" i="2" s="1"/>
  <c r="T24" i="2"/>
  <c r="S24" i="2" s="1"/>
  <c r="T21" i="2"/>
  <c r="S21" i="2" s="1"/>
  <c r="T17" i="2"/>
  <c r="S17" i="2" s="1"/>
  <c r="T16" i="2"/>
  <c r="S16" i="2" s="1"/>
  <c r="T15" i="2"/>
  <c r="S15" i="2" s="1"/>
  <c r="T18" i="2"/>
  <c r="S18" i="2" s="1"/>
  <c r="AO24" i="2"/>
  <c r="AN24" i="2" s="1"/>
  <c r="AO28" i="2"/>
  <c r="AN28" i="2" s="1"/>
  <c r="AO26" i="2"/>
  <c r="AN26" i="2" s="1"/>
  <c r="AO23" i="2"/>
  <c r="AN23" i="2" s="1"/>
  <c r="AO25" i="2"/>
  <c r="AN25" i="2" s="1"/>
  <c r="AO22" i="2"/>
  <c r="AN22" i="2" s="1"/>
  <c r="AO20" i="2"/>
  <c r="AN20" i="2" s="1"/>
  <c r="AO17" i="2"/>
  <c r="AN17" i="2" s="1"/>
  <c r="AO16" i="2"/>
  <c r="AN16" i="2" s="1"/>
  <c r="AO15" i="2"/>
  <c r="AN15" i="2" s="1"/>
  <c r="AO21" i="2"/>
  <c r="AN21" i="2" s="1"/>
  <c r="AO27" i="2"/>
  <c r="AN27" i="2" s="1"/>
  <c r="AO19" i="2"/>
  <c r="AO18" i="2"/>
  <c r="AN18" i="2" s="1"/>
  <c r="AQ57" i="2"/>
  <c r="AG13" i="2"/>
  <c r="AQ63" i="2"/>
  <c r="AH20" i="2"/>
  <c r="AG20" i="2" s="1"/>
  <c r="AH19" i="2"/>
  <c r="AH17" i="2"/>
  <c r="AG17" i="2" s="1"/>
  <c r="AH16" i="2"/>
  <c r="AG16" i="2" s="1"/>
  <c r="AH27" i="2"/>
  <c r="AG27" i="2" s="1"/>
  <c r="AH24" i="2"/>
  <c r="AG24" i="2" s="1"/>
  <c r="AH21" i="2"/>
  <c r="AG21" i="2" s="1"/>
  <c r="AH26" i="2"/>
  <c r="AG26" i="2" s="1"/>
  <c r="AH18" i="2"/>
  <c r="AG18" i="2" s="1"/>
  <c r="AH25" i="2"/>
  <c r="AG25" i="2" s="1"/>
  <c r="AH23" i="2"/>
  <c r="AG23" i="2" s="1"/>
  <c r="AH28" i="2"/>
  <c r="AG28" i="2" s="1"/>
  <c r="AH22" i="2"/>
  <c r="AG22" i="2" s="1"/>
  <c r="AH15" i="2"/>
  <c r="AG15" i="2" s="1"/>
  <c r="Z13" i="2"/>
  <c r="T121" i="2"/>
  <c r="T122" i="2" s="1"/>
  <c r="T126" i="2" s="1"/>
  <c r="S93" i="2"/>
  <c r="AH121" i="2"/>
  <c r="AH122" i="2" s="1"/>
  <c r="AH126" i="2" s="1"/>
  <c r="AG93" i="2"/>
  <c r="AQ64" i="2"/>
  <c r="AQ56" i="2"/>
  <c r="M24" i="2"/>
  <c r="L24" i="2" s="1"/>
  <c r="M20" i="2"/>
  <c r="L20" i="2" s="1"/>
  <c r="M28" i="2"/>
  <c r="L28" i="2" s="1"/>
  <c r="M21" i="2"/>
  <c r="L21" i="2" s="1"/>
  <c r="M27" i="2"/>
  <c r="L27" i="2" s="1"/>
  <c r="M18" i="2"/>
  <c r="L18" i="2" s="1"/>
  <c r="M17" i="2"/>
  <c r="L17" i="2" s="1"/>
  <c r="M16" i="2"/>
  <c r="L16" i="2" s="1"/>
  <c r="M15" i="2"/>
  <c r="L15" i="2" s="1"/>
  <c r="M26" i="2"/>
  <c r="L26" i="2" s="1"/>
  <c r="M23" i="2"/>
  <c r="L23" i="2" s="1"/>
  <c r="M19" i="2"/>
  <c r="M25" i="2"/>
  <c r="L25" i="2" s="1"/>
  <c r="M22" i="2"/>
  <c r="L22" i="2" s="1"/>
  <c r="M121" i="2"/>
  <c r="M122" i="2" s="1"/>
  <c r="M126" i="2" s="1"/>
  <c r="L93" i="2"/>
  <c r="AO120" i="2"/>
  <c r="AN120" i="2" s="1"/>
  <c r="AQ120" i="2" s="1"/>
  <c r="AO119" i="2"/>
  <c r="AN119" i="2" s="1"/>
  <c r="AQ119" i="2" s="1"/>
  <c r="AO118" i="2"/>
  <c r="AN118" i="2" s="1"/>
  <c r="AQ118" i="2" s="1"/>
  <c r="AO117" i="2"/>
  <c r="AN117" i="2" s="1"/>
  <c r="AQ117" i="2" s="1"/>
  <c r="AO106" i="2"/>
  <c r="AN106" i="2" s="1"/>
  <c r="AQ106" i="2" s="1"/>
  <c r="AO105" i="2"/>
  <c r="AN105" i="2" s="1"/>
  <c r="AQ105" i="2" s="1"/>
  <c r="AO104" i="2"/>
  <c r="AN104" i="2" s="1"/>
  <c r="AQ104" i="2" s="1"/>
  <c r="AO103" i="2"/>
  <c r="AN103" i="2" s="1"/>
  <c r="AQ103" i="2" s="1"/>
  <c r="AO102" i="2"/>
  <c r="AN102" i="2" s="1"/>
  <c r="AQ102" i="2" s="1"/>
  <c r="AO101" i="2"/>
  <c r="AN101" i="2" s="1"/>
  <c r="AQ101" i="2" s="1"/>
  <c r="AO100" i="2"/>
  <c r="AN100" i="2" s="1"/>
  <c r="AQ100" i="2" s="1"/>
  <c r="AO99" i="2"/>
  <c r="AN99" i="2" s="1"/>
  <c r="AQ99" i="2" s="1"/>
  <c r="AO98" i="2"/>
  <c r="AN98" i="2" s="1"/>
  <c r="AQ98" i="2" s="1"/>
  <c r="AO97" i="2"/>
  <c r="AN97" i="2" s="1"/>
  <c r="AQ97" i="2" s="1"/>
  <c r="AO96" i="2"/>
  <c r="AN96" i="2" s="1"/>
  <c r="AQ96" i="2" s="1"/>
  <c r="AO95" i="2"/>
  <c r="AN95" i="2" s="1"/>
  <c r="AQ95" i="2" s="1"/>
  <c r="AO94" i="2"/>
  <c r="AN94" i="2" s="1"/>
  <c r="AQ94" i="2" s="1"/>
  <c r="AO93" i="2"/>
  <c r="AO115" i="2"/>
  <c r="AN115" i="2" s="1"/>
  <c r="AQ115" i="2" s="1"/>
  <c r="AO109" i="2"/>
  <c r="AN109" i="2" s="1"/>
  <c r="AQ109" i="2" s="1"/>
  <c r="AO107" i="2"/>
  <c r="AN107" i="2" s="1"/>
  <c r="AQ107" i="2" s="1"/>
  <c r="AO112" i="2"/>
  <c r="AN112" i="2" s="1"/>
  <c r="AQ112" i="2" s="1"/>
  <c r="AO108" i="2"/>
  <c r="AN108" i="2" s="1"/>
  <c r="AQ108" i="2" s="1"/>
  <c r="AO111" i="2"/>
  <c r="AN111" i="2" s="1"/>
  <c r="AQ111" i="2" s="1"/>
  <c r="AO114" i="2"/>
  <c r="AN114" i="2" s="1"/>
  <c r="AQ114" i="2" s="1"/>
  <c r="AO110" i="2"/>
  <c r="AN110" i="2" s="1"/>
  <c r="AQ110" i="2" s="1"/>
  <c r="AO113" i="2"/>
  <c r="AN113" i="2" s="1"/>
  <c r="AQ113" i="2" s="1"/>
  <c r="AQ12" i="2"/>
  <c r="AQ58" i="2"/>
  <c r="AN13" i="2"/>
  <c r="AQ53" i="2"/>
  <c r="AQ61" i="2"/>
  <c r="AQ65" i="2"/>
  <c r="AQ47" i="2"/>
  <c r="AA24" i="2"/>
  <c r="Z24" i="2" s="1"/>
  <c r="AA25" i="2"/>
  <c r="Z25" i="2" s="1"/>
  <c r="AA22" i="2"/>
  <c r="Z22" i="2" s="1"/>
  <c r="AA20" i="2"/>
  <c r="Z20" i="2" s="1"/>
  <c r="AA28" i="2"/>
  <c r="Z28" i="2" s="1"/>
  <c r="AA21" i="2"/>
  <c r="Z21" i="2" s="1"/>
  <c r="AA17" i="2"/>
  <c r="Z17" i="2" s="1"/>
  <c r="AA16" i="2"/>
  <c r="Z16" i="2" s="1"/>
  <c r="AA15" i="2"/>
  <c r="Z15" i="2" s="1"/>
  <c r="AA27" i="2"/>
  <c r="Z27" i="2" s="1"/>
  <c r="AA18" i="2"/>
  <c r="Z18" i="2" s="1"/>
  <c r="AA26" i="2"/>
  <c r="Z26" i="2" s="1"/>
  <c r="AA23" i="2"/>
  <c r="Z23" i="2" s="1"/>
  <c r="AA19" i="2"/>
  <c r="AA121" i="2"/>
  <c r="AA122" i="2" s="1"/>
  <c r="AA126" i="2" s="1"/>
  <c r="Z93" i="2"/>
  <c r="AA20" i="1"/>
  <c r="Z20" i="1" s="1"/>
  <c r="AA15" i="1"/>
  <c r="Z15" i="1" s="1"/>
  <c r="AA16" i="1"/>
  <c r="Z16" i="1" s="1"/>
  <c r="AA17" i="1"/>
  <c r="Z17" i="1" s="1"/>
  <c r="AA18" i="1"/>
  <c r="Z18" i="1" s="1"/>
  <c r="AA19" i="1"/>
  <c r="AA21" i="1"/>
  <c r="Z21" i="1" s="1"/>
  <c r="AA22" i="1"/>
  <c r="Z22" i="1" s="1"/>
  <c r="AA23" i="1"/>
  <c r="Z23" i="1" s="1"/>
  <c r="AA26" i="1"/>
  <c r="Z26" i="1" s="1"/>
  <c r="AA24" i="1"/>
  <c r="Z24" i="1" s="1"/>
  <c r="AA25" i="1"/>
  <c r="Z25" i="1" s="1"/>
  <c r="AA28" i="1"/>
  <c r="Z28" i="1" s="1"/>
  <c r="AA27" i="1"/>
  <c r="Z27" i="1" s="1"/>
  <c r="AQ57" i="1"/>
  <c r="AH121" i="1"/>
  <c r="AH122" i="1" s="1"/>
  <c r="AH126" i="1" s="1"/>
  <c r="AG93" i="1"/>
  <c r="AO98" i="1"/>
  <c r="AN98" i="1" s="1"/>
  <c r="AO100" i="1"/>
  <c r="AN100" i="1" s="1"/>
  <c r="AQ100" i="1" s="1"/>
  <c r="AO101" i="1"/>
  <c r="AN101" i="1" s="1"/>
  <c r="AO102" i="1"/>
  <c r="AN102" i="1" s="1"/>
  <c r="AO103" i="1"/>
  <c r="AN103" i="1" s="1"/>
  <c r="AO104" i="1"/>
  <c r="AN104" i="1" s="1"/>
  <c r="AQ104" i="1" s="1"/>
  <c r="AO105" i="1"/>
  <c r="AN105" i="1" s="1"/>
  <c r="AO106" i="1"/>
  <c r="AN106" i="1" s="1"/>
  <c r="AO94" i="1"/>
  <c r="AN94" i="1" s="1"/>
  <c r="AQ94" i="1" s="1"/>
  <c r="AO99" i="1"/>
  <c r="AN99" i="1" s="1"/>
  <c r="AO107" i="1"/>
  <c r="AN107" i="1" s="1"/>
  <c r="AO108" i="1"/>
  <c r="AN108" i="1" s="1"/>
  <c r="AQ108" i="1" s="1"/>
  <c r="AO109" i="1"/>
  <c r="AN109" i="1" s="1"/>
  <c r="AO110" i="1"/>
  <c r="AN110" i="1" s="1"/>
  <c r="AQ110" i="1" s="1"/>
  <c r="AO93" i="1"/>
  <c r="AO97" i="1"/>
  <c r="AN97" i="1" s="1"/>
  <c r="AQ97" i="1" s="1"/>
  <c r="AO114" i="1"/>
  <c r="AN114" i="1" s="1"/>
  <c r="AO115" i="1"/>
  <c r="AN115" i="1" s="1"/>
  <c r="AQ115" i="1" s="1"/>
  <c r="AO120" i="1"/>
  <c r="AN120" i="1" s="1"/>
  <c r="AQ120" i="1" s="1"/>
  <c r="AO119" i="1"/>
  <c r="AN119" i="1" s="1"/>
  <c r="AQ119" i="1" s="1"/>
  <c r="AO113" i="1"/>
  <c r="AN113" i="1" s="1"/>
  <c r="AO117" i="1"/>
  <c r="AN117" i="1" s="1"/>
  <c r="AO112" i="1"/>
  <c r="AN112" i="1" s="1"/>
  <c r="AO118" i="1"/>
  <c r="AN118" i="1" s="1"/>
  <c r="AO95" i="1"/>
  <c r="AN95" i="1" s="1"/>
  <c r="AQ95" i="1" s="1"/>
  <c r="AO96" i="1"/>
  <c r="AN96" i="1" s="1"/>
  <c r="AQ96" i="1" s="1"/>
  <c r="AO111" i="1"/>
  <c r="AN111" i="1" s="1"/>
  <c r="AQ114" i="1"/>
  <c r="AA121" i="1"/>
  <c r="AA122" i="1" s="1"/>
  <c r="AA126" i="1" s="1"/>
  <c r="Z93" i="1"/>
  <c r="AQ106" i="1"/>
  <c r="AQ102" i="1"/>
  <c r="AO20" i="1"/>
  <c r="AN20" i="1" s="1"/>
  <c r="AO15" i="1"/>
  <c r="AN15" i="1" s="1"/>
  <c r="AO16" i="1"/>
  <c r="AN16" i="1" s="1"/>
  <c r="AO17" i="1"/>
  <c r="AN17" i="1" s="1"/>
  <c r="AO18" i="1"/>
  <c r="AN18" i="1" s="1"/>
  <c r="AO21" i="1"/>
  <c r="AN21" i="1" s="1"/>
  <c r="AO22" i="1"/>
  <c r="AN22" i="1" s="1"/>
  <c r="AO23" i="1"/>
  <c r="AN23" i="1" s="1"/>
  <c r="AO28" i="1"/>
  <c r="AN28" i="1" s="1"/>
  <c r="AO27" i="1"/>
  <c r="AN27" i="1" s="1"/>
  <c r="AO19" i="1"/>
  <c r="AO26" i="1"/>
  <c r="AN26" i="1" s="1"/>
  <c r="AO25" i="1"/>
  <c r="AN25" i="1" s="1"/>
  <c r="AO24" i="1"/>
  <c r="AN24" i="1" s="1"/>
  <c r="AQ112" i="1"/>
  <c r="AQ98" i="1"/>
  <c r="M121" i="1"/>
  <c r="L93" i="1"/>
  <c r="AQ109" i="1"/>
  <c r="AQ107" i="1"/>
  <c r="AH15" i="1"/>
  <c r="AG15" i="1" s="1"/>
  <c r="AH16" i="1"/>
  <c r="AG16" i="1" s="1"/>
  <c r="AH17" i="1"/>
  <c r="AG17" i="1" s="1"/>
  <c r="AH24" i="1"/>
  <c r="AG24" i="1" s="1"/>
  <c r="AH25" i="1"/>
  <c r="AG25" i="1" s="1"/>
  <c r="AH26" i="1"/>
  <c r="AG26" i="1" s="1"/>
  <c r="AH27" i="1"/>
  <c r="AG27" i="1" s="1"/>
  <c r="AH28" i="1"/>
  <c r="AG28" i="1" s="1"/>
  <c r="AH21" i="1"/>
  <c r="AG21" i="1" s="1"/>
  <c r="AH23" i="1"/>
  <c r="AG23" i="1" s="1"/>
  <c r="AH19" i="1"/>
  <c r="AH20" i="1"/>
  <c r="AG20" i="1" s="1"/>
  <c r="AH18" i="1"/>
  <c r="AG18" i="1" s="1"/>
  <c r="AH22" i="1"/>
  <c r="AG22" i="1" s="1"/>
  <c r="AQ113" i="1"/>
  <c r="AQ58" i="1"/>
  <c r="AQ56" i="1"/>
  <c r="AQ111" i="1"/>
  <c r="AQ118" i="1"/>
  <c r="AQ99" i="1"/>
  <c r="AQ117" i="1"/>
  <c r="AQ105" i="1"/>
  <c r="AQ103" i="1"/>
  <c r="AQ101" i="1"/>
  <c r="T121" i="1"/>
  <c r="T122" i="1" s="1"/>
  <c r="T126" i="1" s="1"/>
  <c r="S93" i="1"/>
  <c r="M20" i="1"/>
  <c r="L20" i="1" s="1"/>
  <c r="M15" i="1"/>
  <c r="L15" i="1" s="1"/>
  <c r="M16" i="1"/>
  <c r="L16" i="1" s="1"/>
  <c r="M17" i="1"/>
  <c r="L17" i="1" s="1"/>
  <c r="M18" i="1"/>
  <c r="L18" i="1" s="1"/>
  <c r="M21" i="1"/>
  <c r="L21" i="1" s="1"/>
  <c r="M22" i="1"/>
  <c r="L22" i="1" s="1"/>
  <c r="M23" i="1"/>
  <c r="L23" i="1" s="1"/>
  <c r="M19" i="1"/>
  <c r="M28" i="1"/>
  <c r="L28" i="1" s="1"/>
  <c r="M27" i="1"/>
  <c r="L27" i="1" s="1"/>
  <c r="M26" i="1"/>
  <c r="L26" i="1" s="1"/>
  <c r="M25" i="1"/>
  <c r="L25" i="1" s="1"/>
  <c r="M24" i="1"/>
  <c r="L24" i="1" s="1"/>
  <c r="M122" i="1"/>
  <c r="M126" i="1" s="1"/>
  <c r="T15" i="1"/>
  <c r="S15" i="1" s="1"/>
  <c r="T16" i="1"/>
  <c r="S16" i="1" s="1"/>
  <c r="T17" i="1"/>
  <c r="S17" i="1" s="1"/>
  <c r="T19" i="1"/>
  <c r="T24" i="1"/>
  <c r="S24" i="1" s="1"/>
  <c r="T25" i="1"/>
  <c r="S25" i="1" s="1"/>
  <c r="T26" i="1"/>
  <c r="S26" i="1" s="1"/>
  <c r="T27" i="1"/>
  <c r="S27" i="1" s="1"/>
  <c r="T28" i="1"/>
  <c r="S28" i="1" s="1"/>
  <c r="T18" i="1"/>
  <c r="S18" i="1" s="1"/>
  <c r="T22" i="1"/>
  <c r="S22" i="1" s="1"/>
  <c r="T21" i="1"/>
  <c r="S21" i="1" s="1"/>
  <c r="T23" i="1"/>
  <c r="S23" i="1" s="1"/>
  <c r="T20" i="1"/>
  <c r="S20" i="1" s="1"/>
  <c r="AQ22" i="1" l="1"/>
  <c r="AQ23" i="3"/>
  <c r="AQ22" i="2"/>
  <c r="AQ18" i="2"/>
  <c r="AO119" i="5"/>
  <c r="AO120" i="5" s="1"/>
  <c r="AO124" i="5" s="1"/>
  <c r="AN91" i="5"/>
  <c r="AQ91" i="5"/>
  <c r="AQ16" i="4"/>
  <c r="AQ18" i="4"/>
  <c r="AQ24" i="4"/>
  <c r="AQ27" i="4"/>
  <c r="AQ20" i="4"/>
  <c r="AQ21" i="4"/>
  <c r="AQ28" i="4"/>
  <c r="AO121" i="4"/>
  <c r="AO122" i="4" s="1"/>
  <c r="AO126" i="4" s="1"/>
  <c r="AN93" i="4"/>
  <c r="AQ15" i="4"/>
  <c r="AQ22" i="4"/>
  <c r="AQ25" i="4"/>
  <c r="AQ93" i="4"/>
  <c r="AQ17" i="4"/>
  <c r="AQ23" i="4"/>
  <c r="AQ26" i="4"/>
  <c r="AQ16" i="3"/>
  <c r="AQ25" i="3"/>
  <c r="AQ13" i="3"/>
  <c r="AQ15" i="3"/>
  <c r="AQ14" i="3"/>
  <c r="AQ26" i="3"/>
  <c r="AQ22" i="3"/>
  <c r="AQ18" i="3"/>
  <c r="AQ24" i="3"/>
  <c r="AQ19" i="3"/>
  <c r="AQ20" i="3"/>
  <c r="AQ21" i="3"/>
  <c r="AQ16" i="2"/>
  <c r="AQ21" i="2"/>
  <c r="AO121" i="2"/>
  <c r="AO122" i="2" s="1"/>
  <c r="AO126" i="2" s="1"/>
  <c r="AN93" i="2"/>
  <c r="AQ23" i="2"/>
  <c r="AQ17" i="2"/>
  <c r="AQ28" i="2"/>
  <c r="AQ93" i="2"/>
  <c r="AQ26" i="2"/>
  <c r="AQ20" i="2"/>
  <c r="AQ13" i="2"/>
  <c r="AQ25" i="2"/>
  <c r="AQ15" i="2"/>
  <c r="AQ27" i="2"/>
  <c r="AQ24" i="2"/>
  <c r="AQ20" i="1"/>
  <c r="AQ26" i="1"/>
  <c r="AQ23" i="1"/>
  <c r="AQ17" i="1"/>
  <c r="AO121" i="1"/>
  <c r="AO122" i="1" s="1"/>
  <c r="AO126" i="1" s="1"/>
  <c r="AN93" i="1"/>
  <c r="AQ93" i="1" s="1"/>
  <c r="AQ27" i="1"/>
  <c r="AQ16" i="1"/>
  <c r="AQ24" i="1"/>
  <c r="AQ28" i="1"/>
  <c r="AQ21" i="1"/>
  <c r="AQ15" i="1"/>
  <c r="AQ25" i="1"/>
  <c r="AQ18" i="1"/>
</calcChain>
</file>

<file path=xl/comments1.xml><?xml version="1.0" encoding="utf-8"?>
<comments xmlns="http://schemas.openxmlformats.org/spreadsheetml/2006/main">
  <authors>
    <author>Автор</author>
  </authors>
  <commentLis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уборка снега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уборка снега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уборка снега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уборка снега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уборка снега
</t>
        </r>
      </text>
    </comment>
  </commentList>
</comments>
</file>

<file path=xl/sharedStrings.xml><?xml version="1.0" encoding="utf-8"?>
<sst xmlns="http://schemas.openxmlformats.org/spreadsheetml/2006/main" count="6328" uniqueCount="181">
  <si>
    <t xml:space="preserve"> </t>
  </si>
  <si>
    <t>ВСЕГО (гр.1 + гр.2 + гр3 + гр.4 + гр.5 + гр.6 + гр.7 )</t>
  </si>
  <si>
    <t>ИТОГО</t>
  </si>
  <si>
    <t>человек</t>
  </si>
  <si>
    <t>Суточные в служебных командировках</t>
  </si>
  <si>
    <t>Оплата проезда по служебным командировкам</t>
  </si>
  <si>
    <t>Найм жилых помещений в служебных командировках</t>
  </si>
  <si>
    <t>Ежемесячная компенсационная выплата по уходу за ребенком до 3-х лет</t>
  </si>
  <si>
    <t>кв.м.</t>
  </si>
  <si>
    <t>Налог на имущество</t>
  </si>
  <si>
    <t>шт</t>
  </si>
  <si>
    <t>сувенирная продукция, медали, грамоты, дипломы</t>
  </si>
  <si>
    <t>договор</t>
  </si>
  <si>
    <t>программное обеспечение для  учебных кабинетов ООО "Диджитал Медиа"</t>
  </si>
  <si>
    <t>типографские услуги (изготовление бланочной продукции,переплетные работы,тиражирование), изготовление бланков строгой отчетности (аттестаты и вкладыши к ним)</t>
  </si>
  <si>
    <t>Обслуживание системы "Сетовой Город.Образование"</t>
  </si>
  <si>
    <t>Курсы повышения квалификации (учителя, педагоги, заместители директора, директор, бухгалтерия, столовая),курсы по охране труда 1 чел, пожарный минимум</t>
  </si>
  <si>
    <t>Информационно-техническое обслуживание программно-аппаратного комплекса "НИТ-Школьное питание"</t>
  </si>
  <si>
    <t>Оказание первой медицинской помощи 10 чел.</t>
  </si>
  <si>
    <t>Вакцинация сотрудников (30 чел*1000 руб)</t>
  </si>
  <si>
    <t>га</t>
  </si>
  <si>
    <t>акарицидная обработка против клещей</t>
  </si>
  <si>
    <t>Производственный контроль: проведение токсикологических, гигиенических и иных видов оценок и экспертиз, санитарно- бактериологическое исследование питьевой воды, хим.анализ воды</t>
  </si>
  <si>
    <t>Определение антигена норавируса, ротавируса  18 чел.год 1100 руб 2 раза в год</t>
  </si>
  <si>
    <t>Обучение профессиональной гигиенической подготовке 55чел. 1 раз в год (545 руб. 1 чел)</t>
  </si>
  <si>
    <t>Обязательное психиатрическое освидетельствование (90 человек 1 раз в год, 1500р  1 чел)</t>
  </si>
  <si>
    <t>Ежегодный медицинский осмотр (125 человек 1 раз в год, 3200р  1 чел)</t>
  </si>
  <si>
    <t>Подписка на периодическую литературу</t>
  </si>
  <si>
    <t>Электронные учебники</t>
  </si>
  <si>
    <t>Электронный журнал специалиста по охране труда</t>
  </si>
  <si>
    <t>информационно-правовая система Образование</t>
  </si>
  <si>
    <t>информационно-правовая система Главбух</t>
  </si>
  <si>
    <t>Программа Свод-смарт</t>
  </si>
  <si>
    <t>Фильтрация интернета</t>
  </si>
  <si>
    <t>Годовое обслуживание СКБ Контур</t>
  </si>
  <si>
    <t>Обсдуживание и сопровождение 1С</t>
  </si>
  <si>
    <t>2.7. Прочие общехозяйственные нужды</t>
  </si>
  <si>
    <t>штатные единицы</t>
  </si>
  <si>
    <t>Оплата труда административно-управленческого, административно-хозяйственного, вспомогательного и иного персонала</t>
  </si>
  <si>
    <t>2.5. Работники, которые не принимают непосредственного участия в оказании государственной услуги</t>
  </si>
  <si>
    <t>ед.</t>
  </si>
  <si>
    <t>Затраты на оплату иных услуг связи</t>
  </si>
  <si>
    <t xml:space="preserve"> ед.</t>
  </si>
  <si>
    <t>Затраты на Интернет</t>
  </si>
  <si>
    <t>количество номеров, ед.</t>
  </si>
  <si>
    <t>Затраты на оплату услуг сотовой связи</t>
  </si>
  <si>
    <t>Затраты на внктрезоновая телефонию</t>
  </si>
  <si>
    <t>Затраты на повременную оплату местных, междугородних телефонных соединений</t>
  </si>
  <si>
    <t>Затраты на абонентскую плату</t>
  </si>
  <si>
    <t>2.4. Услуги связи</t>
  </si>
  <si>
    <t>Экспертиза и утилизация оборудования</t>
  </si>
  <si>
    <t>Химчистка имущества</t>
  </si>
  <si>
    <t>Техническое обслуживание и регламентно-профилактический ремонт офисного и бытового оборудования, проверка весов</t>
  </si>
  <si>
    <t>2.3. Содержание объектов особо ценного движимого имущества, необходимого для выполнения государственного задания</t>
  </si>
  <si>
    <t>Техническое обслуживание и регламентно-профилактический ремонт средств пожаротушения (обслуживание первичных средств пожароткшения, обслуживание противопожарных дверей,проверка состояния обработки изделий огнезащитным составом,  проверка  внутреннего противопожарного водопровода на водоотдачу, переосведетельствование огнетушителей, обслуживание тех состояния вентиляционных и дымоходов)</t>
  </si>
  <si>
    <t>Техническое обслуживание и регламентно-профилактический ремонт систем теплоснабжения, водоснабжения, водоотведения, обслуживание приборов учета тепла</t>
  </si>
  <si>
    <t>Замеры заземления и сопротивления</t>
  </si>
  <si>
    <t>количество устройств, ед.</t>
  </si>
  <si>
    <t>Техническое обслуживание и регламентно-профилактический ремонт систем видеонаблюдения</t>
  </si>
  <si>
    <t>руб.</t>
  </si>
  <si>
    <t>Промывка колодцев</t>
  </si>
  <si>
    <t>куб.м.</t>
  </si>
  <si>
    <t>Уборка и вывоз твердых бытовых отходов</t>
  </si>
  <si>
    <t>площадь, в отношении которой заключен договор (кв.м.)</t>
  </si>
  <si>
    <t>Дизенсекция, дератиризация</t>
  </si>
  <si>
    <t>площадь закрепленной территории (кв.м.)</t>
  </si>
  <si>
    <t>Содержание прилегающей территории</t>
  </si>
  <si>
    <t>Техническое обслуживание и регламентно-профилактический ремонт систем охранно-тревожной сигнализации</t>
  </si>
  <si>
    <t>2.2. Содержание объектов недвижимого имущества, необходимого для выполнения государственного задания</t>
  </si>
  <si>
    <t>куб.м</t>
  </si>
  <si>
    <t>Водоотведение</t>
  </si>
  <si>
    <t>Компонент на тепловую энергию</t>
  </si>
  <si>
    <t>Компонент на ХВС</t>
  </si>
  <si>
    <t>Технологические нужды (подогрев воды)</t>
  </si>
  <si>
    <t>Холодное водоснабжение</t>
  </si>
  <si>
    <t>Ккал</t>
  </si>
  <si>
    <t>Теплоснабжение</t>
  </si>
  <si>
    <t>кВт час.</t>
  </si>
  <si>
    <t>Электроснабжение</t>
  </si>
  <si>
    <t>2.1. Коммунальные услуги</t>
  </si>
  <si>
    <t>2. Натуральные нормы на общехозяйственные нужды</t>
  </si>
  <si>
    <t>1.3. Иные натуральные нормы, непосредственно используемые в процессе оказания государственной услуги</t>
  </si>
  <si>
    <t xml:space="preserve">прописи 1 кл </t>
  </si>
  <si>
    <t xml:space="preserve">Методическая литература </t>
  </si>
  <si>
    <t xml:space="preserve">Картриджы </t>
  </si>
  <si>
    <t>Технология мальчиков</t>
  </si>
  <si>
    <t>Учебники, учебно-лабораторное оборудование</t>
  </si>
  <si>
    <t>Питьевая  вода бутилированная(18,9л.),шт.</t>
  </si>
  <si>
    <t>Спецодежда (СанПиН 2.2.3.1384-03)</t>
  </si>
  <si>
    <t>количество наименований</t>
  </si>
  <si>
    <t>Товары и материалы для хозяйственных нужд</t>
  </si>
  <si>
    <t>канцтовары</t>
  </si>
  <si>
    <t xml:space="preserve">Стеллажей ССПн С/Т-600*300*1600, нерж.сталь </t>
  </si>
  <si>
    <t>Калькулятор CITIZEN SDC-368</t>
  </si>
  <si>
    <t>Сушилка для рук</t>
  </si>
  <si>
    <t xml:space="preserve">Приобретение планов эвакуации (5шт) Постановление Правительства Российской Федерации от 25 апреля 2012 года N 39(Правила противопожарного режима)
</t>
  </si>
  <si>
    <t>1.2. Материальные запасы и особо ценное движимое имущество, потребляемые (используемые) в процессе оказания государственной услуги</t>
  </si>
  <si>
    <t>педагогические работники</t>
  </si>
  <si>
    <t>Фонд оплаты труда работников</t>
  </si>
  <si>
    <t>1.1. Работники, непосредственно связанные с оказанием государственной услуги</t>
  </si>
  <si>
    <t>1. Натуральные нормы, непосредственно связанные с оказанием государственной услуги</t>
  </si>
  <si>
    <t xml:space="preserve"> (802112О.99.0.ББ11АЧ08001)</t>
  </si>
  <si>
    <t>Услуга:Реализация основных общеобразовательных программ среднего общего образования</t>
  </si>
  <si>
    <t>(802111О.99.0.БА96АА00001 адаптированная программа)</t>
  </si>
  <si>
    <t xml:space="preserve">Услуга: Реализация основных общеобразовательных программ  основного общего образования
</t>
  </si>
  <si>
    <t>(802111О.99.0.БА96АЧ08001)</t>
  </si>
  <si>
    <t xml:space="preserve">
(801012О.99.0.БА82АЛ78001)</t>
  </si>
  <si>
    <t xml:space="preserve">Услуга: Реализация адаптированных основных общеобразовательных программ начального общего образования </t>
  </si>
  <si>
    <t>(801012О.99.0.БА81АЦ60001)</t>
  </si>
  <si>
    <t xml:space="preserve">Услуга: Реализация основных общеобразовательных программ  начального общего образования
</t>
  </si>
  <si>
    <t>Примечание</t>
  </si>
  <si>
    <t>Тариф (цена)</t>
  </si>
  <si>
    <t>Значение натуральной нормы</t>
  </si>
  <si>
    <t>Единица измерения натуральной нормы</t>
  </si>
  <si>
    <t>Наименование натуральной нормы</t>
  </si>
  <si>
    <t>Уникальный номер реестровой записи</t>
  </si>
  <si>
    <t>Наименование государственной услуги</t>
  </si>
  <si>
    <t>1-11кл (072,172), распределяемые расходы, всего</t>
  </si>
  <si>
    <t>10-11</t>
  </si>
  <si>
    <t>ОВЗ</t>
  </si>
  <si>
    <t>5-9</t>
  </si>
  <si>
    <t>1-4</t>
  </si>
  <si>
    <t>Услуга:Предоставление питания</t>
  </si>
  <si>
    <t xml:space="preserve"> (560200О.99.0.БА89АА00000)</t>
  </si>
  <si>
    <t xml:space="preserve"> (560200О.99.0.ББ03АА00000)</t>
  </si>
  <si>
    <t xml:space="preserve">Услуга:Предоставление питания </t>
  </si>
  <si>
    <t xml:space="preserve">
(560200О.99.0.ББ18АА00000)</t>
  </si>
  <si>
    <t>работники столовой</t>
  </si>
  <si>
    <t>продукты</t>
  </si>
  <si>
    <t>кг</t>
  </si>
  <si>
    <t>Затраты на Интернет для планшетного компьютера</t>
  </si>
  <si>
    <t>Товары и материалы для хозяйствееных нужд</t>
  </si>
  <si>
    <t xml:space="preserve">Канцтовары </t>
  </si>
  <si>
    <t>бензин</t>
  </si>
  <si>
    <t>литр</t>
  </si>
  <si>
    <t>аптечка</t>
  </si>
  <si>
    <t>вода бутылированная</t>
  </si>
  <si>
    <t>Услуги медицинского работника в летний оздоровительный лагерь во 2-ую смену (18 дн*6час*250 руб*1,043)</t>
  </si>
  <si>
    <t>услуги по санаторно-курортному лечению  и отдыху детей Свердловской области в санаторно-курортной организации Общество с ограниченной ответственностью Детский санаторно-оздоровительный комплекс «Жемчужина России» 10 чел</t>
  </si>
  <si>
    <t xml:space="preserve">Реализация основных общеобразовательных программ  начального общего образования
</t>
  </si>
  <si>
    <t>-</t>
  </si>
  <si>
    <t xml:space="preserve">Реализация адаптированных основных общеобразовательных программ начального общего образования </t>
  </si>
  <si>
    <t xml:space="preserve"> Реализация основных общеобразовательных программ  основного общего образования
</t>
  </si>
  <si>
    <t>Реализация основных общеобразовательных программ среднего общего образования</t>
  </si>
  <si>
    <t>Предоставление питания</t>
  </si>
  <si>
    <t xml:space="preserve">Предоставление питания </t>
  </si>
  <si>
    <t xml:space="preserve"> Организация отдыха детей и молодежи
</t>
  </si>
  <si>
    <t>10028000000000002005101</t>
  </si>
  <si>
    <t>СниП 2.04.01-85 "Внутренний водопровод и канализация зданий"</t>
  </si>
  <si>
    <t>Расчет произведен исходя из учебного плана</t>
  </si>
  <si>
    <t>Экспертный метод</t>
  </si>
  <si>
    <t>Расчет произведен исходя из учебного плана и штатного расписания</t>
  </si>
  <si>
    <t>34787000300300101005101</t>
  </si>
  <si>
    <t>34788002300100001005101</t>
  </si>
  <si>
    <t xml:space="preserve">Реализация основных общеобразовательных программ  основного общего образования
</t>
  </si>
  <si>
    <t>35791000300300101009101</t>
  </si>
  <si>
    <t>3579100010000400101009101</t>
  </si>
  <si>
    <t>36794000300300300101006101</t>
  </si>
  <si>
    <t>34Д7000000000000005100</t>
  </si>
  <si>
    <t>34Д70000000000000009100</t>
  </si>
  <si>
    <t>34Д70000000000000007100</t>
  </si>
  <si>
    <t>Расчет произведен исходя из тарификации и штатного расписания</t>
  </si>
  <si>
    <t>Расчет произведен в соответствии со штатным расписанием</t>
  </si>
  <si>
    <t>Расчет произведен на основании тарификации и штатного расписания</t>
  </si>
  <si>
    <t>В соответствии со штатным расписанием</t>
  </si>
  <si>
    <t>Экспетный метод</t>
  </si>
  <si>
    <t>к постановлению администрации городского округа ЗАТО Свободный</t>
  </si>
  <si>
    <t>от "_____"_______________2019 года №______</t>
  </si>
  <si>
    <t>"Об утверждении значений натуральных норм, необходимых для определения нормативных затрат, связанных с оказанием  МБОУ "СШ № 25"   муниципальных услуг, на 2019 год"</t>
  </si>
  <si>
    <t>10028000000000001006101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</si>
  <si>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</si>
  <si>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</si>
  <si>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</si>
  <si>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</si>
  <si>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</si>
  <si>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</si>
  <si>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</si>
  <si>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</si>
  <si>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</si>
  <si>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"Об утверждении значений натуральных норм, необходимых для определения нормативных затрат, связанных с оказанием  МБОУ "СШ 
№ 25"   муниципальных услуг, на 2019 год"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</si>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</sst>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\ _₽_-;_-@_-"/>
    <numFmt numFmtId="166" formatCode="_-* #,##0.0_р_._-;\-* #,##0.0_р_._-;_-* &quot;-&quot;??_р_._-;_-@_-"/>
    <numFmt numFmtId="167" formatCode="#,##0.000000"/>
    <numFmt numFmtId="168" formatCode="#,##0.0000000"/>
    <numFmt numFmtId="169" formatCode="0.0"/>
    <numFmt numFmtId="170" formatCode="#,##0.0"/>
    <numFmt numFmtId="171" formatCode="#,##0.00000000"/>
    <numFmt numFmtId="172" formatCode="#,##0.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Liberation Serif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Liberation Serif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Liberation Serif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Liberation Serif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Liberation Serif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564">
    <xf numFmtId="0" fontId="0" fillId="0" borderId="0" xfId="0"/>
    <xf numFmtId="0" fontId="3" fillId="0" borderId="0" xfId="0" applyFont="1"/>
    <xf numFmtId="164" fontId="3" fillId="0" borderId="0" xfId="0" applyNumberFormat="1" applyFont="1"/>
    <xf numFmtId="43" fontId="3" fillId="0" borderId="0" xfId="1" applyFont="1"/>
    <xf numFmtId="165" fontId="3" fillId="0" borderId="0" xfId="0" applyNumberFormat="1" applyFont="1"/>
    <xf numFmtId="4" fontId="3" fillId="2" borderId="7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3" fontId="3" fillId="0" borderId="11" xfId="1" applyFont="1" applyBorder="1"/>
    <xf numFmtId="166" fontId="3" fillId="0" borderId="11" xfId="1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6" fillId="0" borderId="11" xfId="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7" fontId="3" fillId="0" borderId="11" xfId="0" applyNumberFormat="1" applyFont="1" applyBorder="1" applyAlignment="1">
      <alignment vertical="center" wrapText="1"/>
    </xf>
    <xf numFmtId="43" fontId="3" fillId="0" borderId="12" xfId="1" applyFont="1" applyBorder="1" applyAlignment="1">
      <alignment vertical="center" wrapText="1"/>
    </xf>
    <xf numFmtId="164" fontId="3" fillId="0" borderId="11" xfId="0" applyNumberFormat="1" applyFont="1" applyBorder="1"/>
    <xf numFmtId="0" fontId="3" fillId="3" borderId="0" xfId="0" applyFont="1" applyFill="1"/>
    <xf numFmtId="0" fontId="3" fillId="3" borderId="10" xfId="0" applyFont="1" applyFill="1" applyBorder="1" applyAlignment="1">
      <alignment vertical="center" wrapText="1"/>
    </xf>
    <xf numFmtId="164" fontId="3" fillId="3" borderId="11" xfId="0" applyNumberFormat="1" applyFont="1" applyFill="1" applyBorder="1"/>
    <xf numFmtId="0" fontId="3" fillId="3" borderId="12" xfId="0" applyFont="1" applyFill="1" applyBorder="1" applyAlignment="1">
      <alignment vertical="center" wrapText="1"/>
    </xf>
    <xf numFmtId="4" fontId="6" fillId="3" borderId="11" xfId="2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43" fontId="3" fillId="3" borderId="11" xfId="1" applyFont="1" applyFill="1" applyBorder="1"/>
    <xf numFmtId="43" fontId="3" fillId="3" borderId="12" xfId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3" fontId="3" fillId="0" borderId="11" xfId="1" applyFont="1" applyBorder="1" applyAlignment="1">
      <alignment vertical="center" wrapText="1"/>
    </xf>
    <xf numFmtId="43" fontId="6" fillId="0" borderId="11" xfId="1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168" fontId="3" fillId="0" borderId="1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9" fontId="3" fillId="0" borderId="11" xfId="1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3" fontId="3" fillId="0" borderId="14" xfId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169" fontId="3" fillId="0" borderId="11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3" fontId="3" fillId="2" borderId="0" xfId="1" applyFont="1" applyFill="1"/>
    <xf numFmtId="4" fontId="3" fillId="2" borderId="8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3" fontId="6" fillId="0" borderId="11" xfId="1" applyFont="1" applyFill="1" applyBorder="1" applyAlignment="1">
      <alignment vertical="center" shrinkToFit="1"/>
    </xf>
    <xf numFmtId="170" fontId="3" fillId="0" borderId="2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wrapText="1"/>
    </xf>
    <xf numFmtId="0" fontId="4" fillId="0" borderId="24" xfId="0" applyFont="1" applyBorder="1" applyAlignment="1">
      <alignment vertical="center" wrapText="1"/>
    </xf>
    <xf numFmtId="170" fontId="3" fillId="0" borderId="11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6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43" fontId="3" fillId="2" borderId="11" xfId="1" applyFont="1" applyFill="1" applyBorder="1"/>
    <xf numFmtId="0" fontId="3" fillId="2" borderId="8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70" fontId="3" fillId="0" borderId="11" xfId="0" applyNumberFormat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28" xfId="0" applyFont="1" applyBorder="1" applyAlignment="1">
      <alignment horizontal="justify"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2" borderId="21" xfId="0" applyNumberFormat="1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justify" vertical="center" wrapText="1"/>
    </xf>
    <xf numFmtId="4" fontId="3" fillId="2" borderId="31" xfId="0" applyNumberFormat="1" applyFont="1" applyFill="1" applyBorder="1" applyAlignment="1">
      <alignment vertical="center" wrapText="1"/>
    </xf>
    <xf numFmtId="4" fontId="3" fillId="0" borderId="34" xfId="0" applyNumberFormat="1" applyFont="1" applyBorder="1" applyAlignment="1">
      <alignment vertical="center" wrapText="1"/>
    </xf>
    <xf numFmtId="170" fontId="3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wrapText="1"/>
    </xf>
    <xf numFmtId="0" fontId="4" fillId="0" borderId="19" xfId="0" applyFont="1" applyBorder="1" applyAlignment="1">
      <alignment horizontal="justify" vertical="center" wrapText="1"/>
    </xf>
    <xf numFmtId="4" fontId="3" fillId="0" borderId="35" xfId="0" applyNumberFormat="1" applyFont="1" applyBorder="1" applyAlignment="1">
      <alignment vertical="center" wrapText="1"/>
    </xf>
    <xf numFmtId="171" fontId="3" fillId="0" borderId="34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70" fontId="3" fillId="5" borderId="11" xfId="0" applyNumberFormat="1" applyFont="1" applyFill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171" fontId="3" fillId="0" borderId="22" xfId="0" applyNumberFormat="1" applyFont="1" applyBorder="1" applyAlignment="1">
      <alignment vertical="center" wrapText="1"/>
    </xf>
    <xf numFmtId="170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0" xfId="0" applyFont="1" applyFill="1"/>
    <xf numFmtId="4" fontId="3" fillId="0" borderId="22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/>
    <xf numFmtId="0" fontId="4" fillId="0" borderId="11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justify" vertical="center" wrapText="1"/>
    </xf>
    <xf numFmtId="4" fontId="3" fillId="0" borderId="36" xfId="0" applyNumberFormat="1" applyFont="1" applyFill="1" applyBorder="1" applyAlignment="1">
      <alignment vertical="center" wrapText="1"/>
    </xf>
    <xf numFmtId="171" fontId="3" fillId="0" borderId="25" xfId="0" applyNumberFormat="1" applyFont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wrapText="1"/>
    </xf>
    <xf numFmtId="0" fontId="4" fillId="0" borderId="37" xfId="0" applyFont="1" applyBorder="1" applyAlignment="1">
      <alignment horizontal="justify" vertical="center" wrapText="1"/>
    </xf>
    <xf numFmtId="4" fontId="3" fillId="0" borderId="38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 wrapText="1"/>
    </xf>
    <xf numFmtId="4" fontId="3" fillId="2" borderId="17" xfId="0" applyNumberFormat="1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horizontal="left" wrapText="1"/>
    </xf>
    <xf numFmtId="0" fontId="4" fillId="2" borderId="41" xfId="0" applyFont="1" applyFill="1" applyBorder="1" applyAlignment="1">
      <alignment horizontal="justify" vertical="center" wrapText="1"/>
    </xf>
    <xf numFmtId="4" fontId="3" fillId="2" borderId="40" xfId="0" applyNumberFormat="1" applyFont="1" applyFill="1" applyBorder="1" applyAlignment="1">
      <alignment vertical="center" wrapText="1"/>
    </xf>
    <xf numFmtId="4" fontId="3" fillId="3" borderId="28" xfId="0" applyNumberFormat="1" applyFont="1" applyFill="1" applyBorder="1" applyAlignment="1">
      <alignment vertical="center" wrapText="1"/>
    </xf>
    <xf numFmtId="170" fontId="3" fillId="3" borderId="11" xfId="0" applyNumberFormat="1" applyFont="1" applyFill="1" applyBorder="1"/>
    <xf numFmtId="0" fontId="4" fillId="3" borderId="1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 wrapText="1"/>
    </xf>
    <xf numFmtId="170" fontId="3" fillId="3" borderId="11" xfId="0" applyNumberFormat="1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43" fontId="3" fillId="3" borderId="11" xfId="1" applyFont="1" applyFill="1" applyBorder="1" applyAlignment="1">
      <alignment vertical="center" wrapText="1"/>
    </xf>
    <xf numFmtId="4" fontId="7" fillId="3" borderId="11" xfId="0" applyNumberFormat="1" applyFont="1" applyFill="1" applyBorder="1" applyAlignment="1">
      <alignment wrapText="1"/>
    </xf>
    <xf numFmtId="4" fontId="3" fillId="0" borderId="28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28" xfId="0" applyFont="1" applyBorder="1" applyAlignment="1">
      <alignment vertical="center" wrapText="1"/>
    </xf>
    <xf numFmtId="166" fontId="3" fillId="0" borderId="11" xfId="1" applyNumberFormat="1" applyFont="1" applyFill="1" applyBorder="1" applyAlignment="1">
      <alignment vertical="center" wrapText="1"/>
    </xf>
    <xf numFmtId="172" fontId="3" fillId="0" borderId="11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166" fontId="3" fillId="0" borderId="28" xfId="1" applyNumberFormat="1" applyFont="1" applyBorder="1" applyAlignment="1">
      <alignment vertical="center" wrapText="1"/>
    </xf>
    <xf numFmtId="43" fontId="3" fillId="0" borderId="11" xfId="0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169" fontId="3" fillId="0" borderId="2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43" fontId="3" fillId="0" borderId="17" xfId="0" applyNumberFormat="1" applyFont="1" applyBorder="1" applyAlignment="1">
      <alignment vertical="center" wrapText="1"/>
    </xf>
    <xf numFmtId="43" fontId="3" fillId="0" borderId="17" xfId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3" fillId="0" borderId="0" xfId="0" applyNumberFormat="1" applyFont="1"/>
    <xf numFmtId="4" fontId="8" fillId="0" borderId="0" xfId="3" applyNumberFormat="1" applyFont="1" applyBorder="1" applyAlignment="1">
      <alignment horizontal="center" wrapText="1"/>
    </xf>
    <xf numFmtId="4" fontId="8" fillId="0" borderId="11" xfId="3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43" fontId="3" fillId="0" borderId="28" xfId="1" applyFont="1" applyFill="1" applyBorder="1" applyAlignment="1">
      <alignment vertical="center" wrapText="1"/>
    </xf>
    <xf numFmtId="43" fontId="3" fillId="0" borderId="28" xfId="1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43" fontId="3" fillId="0" borderId="11" xfId="1" applyFont="1" applyFill="1" applyBorder="1"/>
    <xf numFmtId="4" fontId="3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/>
    <xf numFmtId="4" fontId="7" fillId="0" borderId="11" xfId="0" applyNumberFormat="1" applyFont="1" applyFill="1" applyBorder="1" applyAlignment="1">
      <alignment wrapText="1"/>
    </xf>
    <xf numFmtId="43" fontId="3" fillId="0" borderId="11" xfId="1" applyFont="1" applyFill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3" fontId="3" fillId="0" borderId="18" xfId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166" fontId="3" fillId="0" borderId="12" xfId="1" applyNumberFormat="1" applyFont="1" applyBorder="1" applyAlignment="1">
      <alignment vertical="center" wrapText="1"/>
    </xf>
    <xf numFmtId="4" fontId="6" fillId="0" borderId="19" xfId="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166" fontId="3" fillId="0" borderId="28" xfId="1" applyNumberFormat="1" applyFont="1" applyFill="1" applyBorder="1" applyAlignment="1">
      <alignment vertical="center" wrapText="1"/>
    </xf>
    <xf numFmtId="0" fontId="13" fillId="2" borderId="40" xfId="0" applyFont="1" applyFill="1" applyBorder="1" applyAlignment="1">
      <alignment horizontal="left" wrapText="1"/>
    </xf>
    <xf numFmtId="4" fontId="11" fillId="2" borderId="17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1" fillId="0" borderId="0" xfId="0" applyFont="1" applyFill="1"/>
    <xf numFmtId="0" fontId="13" fillId="2" borderId="31" xfId="0" applyFont="1" applyFill="1" applyBorder="1" applyAlignment="1">
      <alignment horizontal="left" wrapText="1"/>
    </xf>
    <xf numFmtId="4" fontId="11" fillId="2" borderId="21" xfId="0" applyNumberFormat="1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3" fillId="0" borderId="11" xfId="0" applyFont="1" applyBorder="1" applyAlignment="1">
      <alignment wrapText="1"/>
    </xf>
    <xf numFmtId="0" fontId="11" fillId="0" borderId="22" xfId="0" applyFont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3" fillId="0" borderId="23" xfId="0" applyFont="1" applyBorder="1" applyAlignment="1">
      <alignment wrapText="1"/>
    </xf>
    <xf numFmtId="0" fontId="11" fillId="2" borderId="9" xfId="0" applyFont="1" applyFill="1" applyBorder="1"/>
    <xf numFmtId="0" fontId="13" fillId="2" borderId="8" xfId="0" applyFont="1" applyFill="1" applyBorder="1" applyAlignment="1">
      <alignment wrapText="1"/>
    </xf>
    <xf numFmtId="4" fontId="11" fillId="2" borderId="7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3" fontId="3" fillId="2" borderId="43" xfId="1" applyFont="1" applyFill="1" applyBorder="1"/>
    <xf numFmtId="0" fontId="3" fillId="0" borderId="24" xfId="0" applyFont="1" applyBorder="1" applyAlignment="1">
      <alignment vertical="center" wrapText="1"/>
    </xf>
    <xf numFmtId="43" fontId="3" fillId="2" borderId="0" xfId="1" applyFont="1" applyFill="1" applyBorder="1"/>
    <xf numFmtId="0" fontId="4" fillId="0" borderId="8" xfId="0" applyFont="1" applyBorder="1" applyAlignment="1">
      <alignment horizontal="left" wrapText="1"/>
    </xf>
    <xf numFmtId="170" fontId="3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/>
    <xf numFmtId="4" fontId="3" fillId="0" borderId="46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3" borderId="28" xfId="0" applyFont="1" applyFill="1" applyBorder="1" applyAlignment="1">
      <alignment horizontal="justify" vertical="center" wrapText="1"/>
    </xf>
    <xf numFmtId="4" fontId="7" fillId="3" borderId="28" xfId="0" applyNumberFormat="1" applyFont="1" applyFill="1" applyBorder="1" applyAlignment="1">
      <alignment wrapText="1"/>
    </xf>
    <xf numFmtId="0" fontId="4" fillId="2" borderId="47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37" xfId="0" applyFont="1" applyBorder="1" applyAlignment="1">
      <alignment vertical="center" wrapText="1"/>
    </xf>
    <xf numFmtId="0" fontId="3" fillId="2" borderId="27" xfId="0" applyFont="1" applyFill="1" applyBorder="1"/>
    <xf numFmtId="0" fontId="4" fillId="4" borderId="28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7" fillId="0" borderId="28" xfId="0" applyFont="1" applyBorder="1" applyAlignment="1">
      <alignment wrapText="1"/>
    </xf>
    <xf numFmtId="4" fontId="6" fillId="0" borderId="28" xfId="2" applyNumberFormat="1" applyFont="1" applyFill="1" applyBorder="1" applyAlignment="1">
      <alignment horizontal="left" wrapText="1"/>
    </xf>
    <xf numFmtId="4" fontId="6" fillId="3" borderId="28" xfId="2" applyNumberFormat="1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justify"/>
    </xf>
    <xf numFmtId="0" fontId="3" fillId="0" borderId="4" xfId="0" applyFont="1" applyBorder="1" applyAlignment="1">
      <alignment vertical="justify"/>
    </xf>
    <xf numFmtId="165" fontId="3" fillId="0" borderId="0" xfId="0" applyNumberFormat="1" applyFont="1" applyFill="1"/>
    <xf numFmtId="0" fontId="3" fillId="3" borderId="14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9" fontId="3" fillId="0" borderId="23" xfId="0" applyNumberFormat="1" applyFont="1" applyBorder="1" applyAlignment="1">
      <alignment vertical="center" wrapText="1"/>
    </xf>
    <xf numFmtId="164" fontId="3" fillId="0" borderId="23" xfId="0" applyNumberFormat="1" applyFont="1" applyBorder="1"/>
    <xf numFmtId="0" fontId="3" fillId="0" borderId="2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9" fontId="3" fillId="0" borderId="8" xfId="0" applyNumberFormat="1" applyFont="1" applyBorder="1" applyAlignment="1">
      <alignment vertical="center" wrapText="1"/>
    </xf>
    <xf numFmtId="43" fontId="3" fillId="0" borderId="8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4" fillId="2" borderId="48" xfId="0" applyFont="1" applyFill="1" applyBorder="1" applyAlignment="1">
      <alignment horizontal="justify" vertical="center" wrapText="1"/>
    </xf>
    <xf numFmtId="170" fontId="3" fillId="0" borderId="43" xfId="0" applyNumberFormat="1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43" fontId="3" fillId="2" borderId="12" xfId="1" applyFont="1" applyFill="1" applyBorder="1"/>
    <xf numFmtId="0" fontId="3" fillId="2" borderId="34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43" xfId="0" applyFont="1" applyBorder="1" applyAlignment="1">
      <alignment wrapText="1"/>
    </xf>
    <xf numFmtId="43" fontId="6" fillId="0" borderId="43" xfId="1" applyFont="1" applyFill="1" applyBorder="1" applyAlignment="1">
      <alignment vertical="center" shrinkToFit="1"/>
    </xf>
    <xf numFmtId="4" fontId="3" fillId="0" borderId="51" xfId="0" applyNumberFormat="1" applyFont="1" applyBorder="1" applyAlignment="1">
      <alignment vertical="center" wrapText="1"/>
    </xf>
    <xf numFmtId="166" fontId="3" fillId="0" borderId="23" xfId="1" applyNumberFormat="1" applyFont="1" applyBorder="1" applyAlignment="1">
      <alignment vertical="center" wrapText="1"/>
    </xf>
    <xf numFmtId="166" fontId="3" fillId="0" borderId="8" xfId="1" applyNumberFormat="1" applyFont="1" applyBorder="1" applyAlignment="1">
      <alignment vertical="center" wrapText="1"/>
    </xf>
    <xf numFmtId="166" fontId="3" fillId="0" borderId="43" xfId="1" applyNumberFormat="1" applyFont="1" applyBorder="1" applyAlignment="1">
      <alignment vertical="center" wrapText="1"/>
    </xf>
    <xf numFmtId="43" fontId="3" fillId="0" borderId="43" xfId="1" applyFont="1" applyBorder="1"/>
    <xf numFmtId="0" fontId="4" fillId="2" borderId="30" xfId="0" applyFont="1" applyFill="1" applyBorder="1" applyAlignment="1">
      <alignment horizontal="left" wrapText="1"/>
    </xf>
    <xf numFmtId="4" fontId="3" fillId="2" borderId="14" xfId="0" applyNumberFormat="1" applyFont="1" applyFill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43" fontId="6" fillId="0" borderId="28" xfId="1" applyFont="1" applyFill="1" applyBorder="1" applyAlignment="1">
      <alignment vertical="center" shrinkToFit="1"/>
    </xf>
    <xf numFmtId="0" fontId="4" fillId="0" borderId="11" xfId="0" applyFont="1" applyFill="1" applyBorder="1" applyAlignment="1">
      <alignment wrapText="1"/>
    </xf>
    <xf numFmtId="169" fontId="3" fillId="0" borderId="12" xfId="1" applyNumberFormat="1" applyFont="1" applyBorder="1" applyAlignment="1">
      <alignment vertical="center" wrapText="1"/>
    </xf>
    <xf numFmtId="0" fontId="4" fillId="2" borderId="52" xfId="0" applyFont="1" applyFill="1" applyBorder="1" applyAlignment="1">
      <alignment horizontal="justify" vertical="center" wrapText="1"/>
    </xf>
    <xf numFmtId="0" fontId="3" fillId="0" borderId="5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50" xfId="0" applyFont="1" applyBorder="1" applyAlignment="1">
      <alignment wrapText="1"/>
    </xf>
    <xf numFmtId="43" fontId="3" fillId="0" borderId="12" xfId="0" applyNumberFormat="1" applyFont="1" applyBorder="1" applyAlignment="1">
      <alignment vertical="center" wrapText="1"/>
    </xf>
    <xf numFmtId="0" fontId="4" fillId="0" borderId="30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left" wrapText="1"/>
    </xf>
    <xf numFmtId="170" fontId="3" fillId="0" borderId="43" xfId="0" applyNumberFormat="1" applyFont="1" applyBorder="1" applyAlignment="1">
      <alignment vertical="center" wrapText="1"/>
    </xf>
    <xf numFmtId="164" fontId="3" fillId="0" borderId="43" xfId="0" applyNumberFormat="1" applyFont="1" applyBorder="1"/>
    <xf numFmtId="0" fontId="4" fillId="0" borderId="12" xfId="0" applyFont="1" applyBorder="1" applyAlignment="1">
      <alignment wrapText="1"/>
    </xf>
    <xf numFmtId="170" fontId="3" fillId="0" borderId="12" xfId="0" applyNumberFormat="1" applyFont="1" applyBorder="1" applyAlignment="1">
      <alignment horizontal="right" vertical="center" wrapText="1"/>
    </xf>
    <xf numFmtId="43" fontId="6" fillId="0" borderId="12" xfId="1" applyFont="1" applyFill="1" applyBorder="1" applyAlignment="1">
      <alignment vertical="center" shrinkToFit="1"/>
    </xf>
    <xf numFmtId="0" fontId="4" fillId="2" borderId="31" xfId="0" applyFont="1" applyFill="1" applyBorder="1" applyAlignment="1">
      <alignment wrapText="1"/>
    </xf>
    <xf numFmtId="43" fontId="3" fillId="2" borderId="5" xfId="1" applyFont="1" applyFill="1" applyBorder="1"/>
    <xf numFmtId="4" fontId="3" fillId="2" borderId="29" xfId="0" applyNumberFormat="1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justify" vertical="center" wrapText="1"/>
    </xf>
    <xf numFmtId="0" fontId="4" fillId="0" borderId="19" xfId="0" applyFont="1" applyBorder="1" applyAlignment="1">
      <alignment vertical="center" wrapText="1"/>
    </xf>
    <xf numFmtId="0" fontId="3" fillId="2" borderId="48" xfId="0" applyFont="1" applyFill="1" applyBorder="1"/>
    <xf numFmtId="43" fontId="3" fillId="0" borderId="43" xfId="1" applyFont="1" applyBorder="1" applyAlignment="1">
      <alignment vertical="center" wrapText="1"/>
    </xf>
    <xf numFmtId="43" fontId="3" fillId="0" borderId="23" xfId="1" applyFont="1" applyBorder="1" applyAlignment="1">
      <alignment vertical="center" wrapText="1"/>
    </xf>
    <xf numFmtId="43" fontId="3" fillId="0" borderId="27" xfId="1" applyFont="1" applyFill="1" applyBorder="1" applyAlignment="1">
      <alignment vertical="center" wrapText="1"/>
    </xf>
    <xf numFmtId="43" fontId="3" fillId="0" borderId="8" xfId="1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justify" vertical="center" wrapText="1"/>
    </xf>
    <xf numFmtId="4" fontId="7" fillId="0" borderId="28" xfId="0" applyNumberFormat="1" applyFont="1" applyFill="1" applyBorder="1" applyAlignment="1">
      <alignment wrapText="1"/>
    </xf>
    <xf numFmtId="0" fontId="4" fillId="0" borderId="50" xfId="0" applyFont="1" applyFill="1" applyBorder="1" applyAlignment="1">
      <alignment vertical="center" wrapText="1"/>
    </xf>
    <xf numFmtId="4" fontId="6" fillId="0" borderId="50" xfId="2" applyNumberFormat="1" applyFont="1" applyFill="1" applyBorder="1" applyAlignment="1">
      <alignment horizontal="left" wrapText="1"/>
    </xf>
    <xf numFmtId="0" fontId="3" fillId="0" borderId="2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3" fillId="0" borderId="8" xfId="0" applyFont="1" applyFill="1" applyBorder="1"/>
    <xf numFmtId="43" fontId="3" fillId="0" borderId="8" xfId="1" applyFont="1" applyFill="1" applyBorder="1"/>
    <xf numFmtId="4" fontId="3" fillId="0" borderId="7" xfId="0" applyNumberFormat="1" applyFont="1" applyFill="1" applyBorder="1" applyAlignment="1">
      <alignment vertical="center" wrapText="1"/>
    </xf>
    <xf numFmtId="4" fontId="3" fillId="0" borderId="43" xfId="0" applyNumberFormat="1" applyFont="1" applyBorder="1" applyAlignment="1">
      <alignment vertical="center" wrapText="1"/>
    </xf>
    <xf numFmtId="43" fontId="3" fillId="0" borderId="31" xfId="1" applyFont="1" applyBorder="1"/>
    <xf numFmtId="0" fontId="7" fillId="0" borderId="27" xfId="0" applyFont="1" applyFill="1" applyBorder="1" applyAlignment="1">
      <alignment horizontal="justify" vertical="center" wrapText="1"/>
    </xf>
    <xf numFmtId="0" fontId="4" fillId="0" borderId="48" xfId="0" applyFont="1" applyFill="1" applyBorder="1" applyAlignment="1">
      <alignment vertical="center" wrapText="1"/>
    </xf>
    <xf numFmtId="0" fontId="4" fillId="4" borderId="50" xfId="0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 horizontal="left" vertical="center" wrapText="1"/>
    </xf>
    <xf numFmtId="43" fontId="6" fillId="0" borderId="11" xfId="1" applyFont="1" applyFill="1" applyBorder="1" applyAlignment="1">
      <alignment horizontal="left" vertical="center" shrinkToFit="1"/>
    </xf>
    <xf numFmtId="4" fontId="3" fillId="0" borderId="25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wrapText="1"/>
    </xf>
    <xf numFmtId="4" fontId="3" fillId="2" borderId="12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vertical="center" wrapText="1"/>
    </xf>
    <xf numFmtId="0" fontId="3" fillId="2" borderId="41" xfId="0" applyFont="1" applyFill="1" applyBorder="1"/>
    <xf numFmtId="0" fontId="4" fillId="2" borderId="40" xfId="0" applyFont="1" applyFill="1" applyBorder="1" applyAlignment="1">
      <alignment wrapText="1"/>
    </xf>
    <xf numFmtId="4" fontId="3" fillId="2" borderId="40" xfId="0" applyNumberFormat="1" applyFont="1" applyFill="1" applyBorder="1" applyAlignment="1">
      <alignment horizontal="right" vertical="center" wrapText="1"/>
    </xf>
    <xf numFmtId="4" fontId="3" fillId="2" borderId="54" xfId="0" applyNumberFormat="1" applyFont="1" applyFill="1" applyBorder="1" applyAlignment="1">
      <alignment vertical="center" wrapText="1"/>
    </xf>
    <xf numFmtId="166" fontId="3" fillId="0" borderId="31" xfId="1" applyNumberFormat="1" applyFont="1" applyBorder="1" applyAlignment="1">
      <alignment vertical="center" wrapText="1"/>
    </xf>
    <xf numFmtId="43" fontId="3" fillId="0" borderId="27" xfId="1" applyFont="1" applyBorder="1" applyAlignment="1">
      <alignment vertical="center" wrapText="1"/>
    </xf>
    <xf numFmtId="43" fontId="3" fillId="0" borderId="8" xfId="1" applyFont="1" applyBorder="1"/>
    <xf numFmtId="0" fontId="3" fillId="2" borderId="19" xfId="0" applyFont="1" applyFill="1" applyBorder="1"/>
    <xf numFmtId="4" fontId="6" fillId="0" borderId="48" xfId="2" applyNumberFormat="1" applyFont="1" applyFill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2" fillId="2" borderId="47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vertical="center" wrapText="1"/>
    </xf>
    <xf numFmtId="4" fontId="16" fillId="0" borderId="28" xfId="0" applyNumberFormat="1" applyFont="1" applyFill="1" applyBorder="1" applyAlignment="1">
      <alignment wrapText="1"/>
    </xf>
    <xf numFmtId="0" fontId="12" fillId="2" borderId="48" xfId="0" applyFont="1" applyFill="1" applyBorder="1" applyAlignment="1">
      <alignment horizontal="justify" vertical="center" wrapText="1"/>
    </xf>
    <xf numFmtId="0" fontId="12" fillId="0" borderId="37" xfId="0" applyFont="1" applyBorder="1" applyAlignment="1">
      <alignment vertical="center" wrapText="1"/>
    </xf>
    <xf numFmtId="0" fontId="11" fillId="2" borderId="27" xfId="0" applyFont="1" applyFill="1" applyBorder="1"/>
    <xf numFmtId="43" fontId="3" fillId="3" borderId="18" xfId="1" applyFont="1" applyFill="1" applyBorder="1"/>
    <xf numFmtId="4" fontId="3" fillId="3" borderId="35" xfId="0" applyNumberFormat="1" applyFont="1" applyFill="1" applyBorder="1" applyAlignment="1">
      <alignment vertical="center" wrapText="1"/>
    </xf>
    <xf numFmtId="4" fontId="3" fillId="0" borderId="55" xfId="0" applyNumberFormat="1" applyFont="1" applyBorder="1" applyAlignment="1">
      <alignment vertical="center" wrapText="1"/>
    </xf>
    <xf numFmtId="169" fontId="3" fillId="0" borderId="4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43" xfId="0" applyNumberFormat="1" applyFont="1" applyBorder="1" applyAlignment="1">
      <alignment horizontal="left" vertical="center" wrapText="1"/>
    </xf>
    <xf numFmtId="43" fontId="6" fillId="0" borderId="43" xfId="1" applyFont="1" applyFill="1" applyBorder="1" applyAlignment="1">
      <alignment horizontal="left" vertical="center" shrinkToFit="1"/>
    </xf>
    <xf numFmtId="4" fontId="3" fillId="0" borderId="51" xfId="0" applyNumberFormat="1" applyFont="1" applyBorder="1" applyAlignment="1">
      <alignment horizontal="left" vertical="center" wrapText="1"/>
    </xf>
    <xf numFmtId="0" fontId="3" fillId="0" borderId="51" xfId="0" applyFont="1" applyBorder="1" applyAlignment="1">
      <alignment vertical="center" wrapText="1"/>
    </xf>
    <xf numFmtId="0" fontId="7" fillId="0" borderId="28" xfId="0" applyFont="1" applyBorder="1" applyAlignment="1">
      <alignment horizontal="justify" vertical="center" shrinkToFit="1"/>
    </xf>
    <xf numFmtId="0" fontId="4" fillId="0" borderId="11" xfId="0" applyFont="1" applyBorder="1" applyAlignment="1">
      <alignment vertical="center" shrinkToFit="1"/>
    </xf>
    <xf numFmtId="170" fontId="3" fillId="0" borderId="11" xfId="0" applyNumberFormat="1" applyFont="1" applyBorder="1" applyAlignment="1">
      <alignment vertical="center" shrinkToFit="1"/>
    </xf>
    <xf numFmtId="43" fontId="3" fillId="0" borderId="11" xfId="1" applyFont="1" applyBorder="1" applyAlignment="1">
      <alignment shrinkToFit="1"/>
    </xf>
    <xf numFmtId="4" fontId="3" fillId="0" borderId="36" xfId="0" applyNumberFormat="1" applyFont="1" applyBorder="1" applyAlignment="1">
      <alignment vertical="center" shrinkToFit="1"/>
    </xf>
    <xf numFmtId="0" fontId="7" fillId="3" borderId="28" xfId="0" applyFont="1" applyFill="1" applyBorder="1" applyAlignment="1">
      <alignment horizontal="justify" vertical="center" shrinkToFit="1"/>
    </xf>
    <xf numFmtId="0" fontId="4" fillId="3" borderId="11" xfId="0" applyFont="1" applyFill="1" applyBorder="1" applyAlignment="1">
      <alignment horizontal="justify" vertical="center" shrinkToFit="1"/>
    </xf>
    <xf numFmtId="170" fontId="3" fillId="3" borderId="11" xfId="0" applyNumberFormat="1" applyFont="1" applyFill="1" applyBorder="1" applyAlignment="1">
      <alignment shrinkToFit="1"/>
    </xf>
    <xf numFmtId="43" fontId="3" fillId="3" borderId="11" xfId="1" applyFont="1" applyFill="1" applyBorder="1" applyAlignment="1">
      <alignment shrinkToFit="1"/>
    </xf>
    <xf numFmtId="4" fontId="3" fillId="3" borderId="35" xfId="0" applyNumberFormat="1" applyFont="1" applyFill="1" applyBorder="1" applyAlignment="1">
      <alignment vertical="center" shrinkToFit="1"/>
    </xf>
    <xf numFmtId="4" fontId="7" fillId="3" borderId="28" xfId="0" applyNumberFormat="1" applyFont="1" applyFill="1" applyBorder="1" applyAlignment="1">
      <alignment shrinkToFit="1"/>
    </xf>
    <xf numFmtId="170" fontId="3" fillId="3" borderId="11" xfId="0" applyNumberFormat="1" applyFont="1" applyFill="1" applyBorder="1" applyAlignment="1">
      <alignment vertical="center" shrinkToFit="1"/>
    </xf>
    <xf numFmtId="0" fontId="3" fillId="0" borderId="14" xfId="0" applyFont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3" fillId="3" borderId="22" xfId="0" applyNumberFormat="1" applyFont="1" applyFill="1" applyBorder="1" applyAlignment="1">
      <alignment vertical="center" wrapText="1"/>
    </xf>
    <xf numFmtId="4" fontId="6" fillId="0" borderId="27" xfId="2" applyNumberFormat="1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49" xfId="0" applyNumberFormat="1" applyFont="1" applyBorder="1" applyAlignment="1">
      <alignment vertical="center" wrapText="1"/>
    </xf>
    <xf numFmtId="4" fontId="3" fillId="3" borderId="49" xfId="0" applyNumberFormat="1" applyFont="1" applyFill="1" applyBorder="1" applyAlignment="1">
      <alignment vertical="center" wrapText="1"/>
    </xf>
    <xf numFmtId="4" fontId="3" fillId="0" borderId="56" xfId="0" applyNumberFormat="1" applyFont="1" applyBorder="1" applyAlignment="1">
      <alignment vertical="center" wrapText="1"/>
    </xf>
    <xf numFmtId="4" fontId="3" fillId="0" borderId="49" xfId="0" applyNumberFormat="1" applyFont="1" applyFill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3" fillId="2" borderId="58" xfId="0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2" borderId="58" xfId="0" applyNumberFormat="1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2" borderId="47" xfId="0" applyFont="1" applyFill="1" applyBorder="1"/>
    <xf numFmtId="164" fontId="3" fillId="0" borderId="2" xfId="0" applyNumberFormat="1" applyFont="1" applyBorder="1"/>
    <xf numFmtId="0" fontId="3" fillId="0" borderId="59" xfId="0" applyFont="1" applyBorder="1" applyAlignment="1">
      <alignment vertical="center" wrapText="1"/>
    </xf>
    <xf numFmtId="43" fontId="3" fillId="0" borderId="2" xfId="1" applyFont="1" applyBorder="1"/>
    <xf numFmtId="0" fontId="4" fillId="2" borderId="60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left" wrapText="1"/>
    </xf>
    <xf numFmtId="4" fontId="3" fillId="2" borderId="16" xfId="0" applyNumberFormat="1" applyFont="1" applyFill="1" applyBorder="1" applyAlignment="1">
      <alignment vertical="center" wrapText="1"/>
    </xf>
    <xf numFmtId="0" fontId="4" fillId="0" borderId="61" xfId="0" applyFont="1" applyBorder="1" applyAlignment="1">
      <alignment wrapText="1"/>
    </xf>
    <xf numFmtId="43" fontId="6" fillId="0" borderId="50" xfId="1" applyFont="1" applyFill="1" applyBorder="1" applyAlignment="1">
      <alignment vertical="center" shrinkToFit="1"/>
    </xf>
    <xf numFmtId="0" fontId="3" fillId="0" borderId="19" xfId="0" applyFont="1" applyFill="1" applyBorder="1"/>
    <xf numFmtId="0" fontId="4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vertical="center" wrapText="1"/>
    </xf>
    <xf numFmtId="43" fontId="3" fillId="0" borderId="12" xfId="1" applyFont="1" applyFill="1" applyBorder="1"/>
    <xf numFmtId="4" fontId="3" fillId="0" borderId="34" xfId="0" applyNumberFormat="1" applyFont="1" applyFill="1" applyBorder="1" applyAlignment="1">
      <alignment vertical="center" wrapText="1"/>
    </xf>
    <xf numFmtId="43" fontId="3" fillId="0" borderId="0" xfId="1" applyFont="1" applyFill="1" applyBorder="1"/>
    <xf numFmtId="4" fontId="6" fillId="0" borderId="47" xfId="2" applyNumberFormat="1" applyFont="1" applyFill="1" applyBorder="1" applyAlignment="1">
      <alignment horizontal="left" wrapText="1"/>
    </xf>
    <xf numFmtId="0" fontId="3" fillId="0" borderId="40" xfId="0" applyFont="1" applyBorder="1" applyAlignment="1">
      <alignment vertical="center" wrapText="1"/>
    </xf>
    <xf numFmtId="166" fontId="3" fillId="0" borderId="40" xfId="1" applyNumberFormat="1" applyFont="1" applyBorder="1" applyAlignment="1">
      <alignment vertical="center" wrapText="1"/>
    </xf>
    <xf numFmtId="43" fontId="3" fillId="0" borderId="40" xfId="1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3" fillId="0" borderId="6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 wrapText="1"/>
    </xf>
    <xf numFmtId="4" fontId="16" fillId="0" borderId="11" xfId="0" applyNumberFormat="1" applyFont="1" applyFill="1" applyBorder="1" applyAlignment="1">
      <alignment wrapText="1"/>
    </xf>
    <xf numFmtId="0" fontId="12" fillId="2" borderId="32" xfId="0" applyFont="1" applyFill="1" applyBorder="1" applyAlignment="1">
      <alignment horizontal="justify" vertical="center" wrapText="1"/>
    </xf>
    <xf numFmtId="0" fontId="12" fillId="0" borderId="26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vertical="center" wrapText="1"/>
    </xf>
    <xf numFmtId="43" fontId="3" fillId="0" borderId="14" xfId="1" applyFont="1" applyBorder="1" applyAlignment="1">
      <alignment horizontal="center" vertical="center" wrapText="1"/>
    </xf>
    <xf numFmtId="0" fontId="11" fillId="2" borderId="41" xfId="0" applyFont="1" applyFill="1" applyBorder="1"/>
    <xf numFmtId="0" fontId="13" fillId="2" borderId="40" xfId="0" applyFont="1" applyFill="1" applyBorder="1" applyAlignment="1">
      <alignment wrapText="1"/>
    </xf>
    <xf numFmtId="4" fontId="11" fillId="2" borderId="54" xfId="0" applyNumberFormat="1" applyFont="1" applyFill="1" applyBorder="1" applyAlignment="1">
      <alignment vertical="center" wrapText="1"/>
    </xf>
    <xf numFmtId="0" fontId="11" fillId="0" borderId="51" xfId="0" applyFont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wrapText="1"/>
    </xf>
    <xf numFmtId="0" fontId="11" fillId="0" borderId="40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4" fillId="0" borderId="50" xfId="0" applyFont="1" applyFill="1" applyBorder="1" applyAlignment="1">
      <alignment horizontal="justify" vertical="center" wrapText="1"/>
    </xf>
    <xf numFmtId="0" fontId="15" fillId="0" borderId="43" xfId="0" applyFont="1" applyFill="1" applyBorder="1" applyAlignment="1">
      <alignment vertical="center" wrapText="1"/>
    </xf>
    <xf numFmtId="4" fontId="3" fillId="0" borderId="43" xfId="0" applyNumberFormat="1" applyFont="1" applyFill="1" applyBorder="1" applyAlignment="1">
      <alignment vertical="center" wrapText="1"/>
    </xf>
    <xf numFmtId="43" fontId="3" fillId="0" borderId="43" xfId="1" applyFont="1" applyFill="1" applyBorder="1"/>
    <xf numFmtId="4" fontId="3" fillId="0" borderId="11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4" fontId="11" fillId="0" borderId="51" xfId="0" applyNumberFormat="1" applyFont="1" applyFill="1" applyBorder="1" applyAlignment="1">
      <alignment vertical="center" wrapText="1"/>
    </xf>
    <xf numFmtId="0" fontId="16" fillId="0" borderId="47" xfId="0" applyFont="1" applyBorder="1" applyAlignment="1">
      <alignment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16" fillId="0" borderId="0" xfId="0" applyFont="1" applyAlignment="1">
      <alignment horizontal="justify" wrapText="1"/>
    </xf>
    <xf numFmtId="0" fontId="3" fillId="0" borderId="42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0" borderId="42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4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3" fillId="0" borderId="48" xfId="0" applyFont="1" applyBorder="1" applyAlignment="1">
      <alignment vertical="center" wrapText="1"/>
    </xf>
    <xf numFmtId="0" fontId="3" fillId="2" borderId="57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wrapText="1"/>
    </xf>
    <xf numFmtId="0" fontId="11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4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48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3" borderId="32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top" wrapText="1"/>
    </xf>
    <xf numFmtId="0" fontId="11" fillId="0" borderId="26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</cellXfs>
  <cellStyles count="4">
    <cellStyle name="Обычный" xfId="0" builtinId="0"/>
    <cellStyle name="Обычный 6" xfId="3"/>
    <cellStyle name="Обычный 8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8"/>
  <sheetViews>
    <sheetView view="pageBreakPreview" topLeftCell="H1" zoomScaleNormal="100" zoomScaleSheetLayoutView="100" workbookViewId="0">
      <pane ySplit="8" topLeftCell="A112" activePane="bottomLeft" state="frozen"/>
      <selection activeCell="B1" sqref="B1"/>
      <selection pane="bottomLeft" activeCell="J8" sqref="J8"/>
    </sheetView>
  </sheetViews>
  <sheetFormatPr defaultRowHeight="14.25" outlineLevelRow="1" outlineLevelCol="1" x14ac:dyDescent="0.2"/>
  <cols>
    <col min="1" max="1" width="20.5703125" style="1" hidden="1" customWidth="1" outlineLevel="1"/>
    <col min="2" max="2" width="9.85546875" style="1" hidden="1" customWidth="1" outlineLevel="1"/>
    <col min="3" max="3" width="26.140625" style="1" hidden="1" customWidth="1" outlineLevel="1"/>
    <col min="4" max="4" width="21.85546875" style="1" hidden="1" customWidth="1" outlineLevel="1"/>
    <col min="5" max="6" width="18.5703125" style="1" hidden="1" customWidth="1" outlineLevel="1"/>
    <col min="7" max="7" width="21.5703125" style="1" hidden="1" customWidth="1" outlineLevel="1"/>
    <col min="8" max="8" width="20.5703125" style="1" customWidth="1" collapsed="1"/>
    <col min="9" max="9" width="9.85546875" style="1" customWidth="1"/>
    <col min="10" max="10" width="26.140625" style="1" customWidth="1"/>
    <col min="11" max="11" width="17.5703125" style="1" customWidth="1"/>
    <col min="12" max="12" width="18.5703125" style="1" customWidth="1"/>
    <col min="13" max="13" width="18.5703125" style="1" hidden="1" customWidth="1"/>
    <col min="14" max="14" width="24.28515625" style="1" customWidth="1"/>
    <col min="15" max="15" width="17.7109375" style="1" hidden="1" customWidth="1"/>
    <col min="16" max="16" width="17.28515625" style="1" hidden="1" customWidth="1"/>
    <col min="17" max="17" width="29.140625" style="1" hidden="1" customWidth="1"/>
    <col min="18" max="20" width="21.5703125" style="1" hidden="1" customWidth="1"/>
    <col min="21" max="21" width="15.7109375" style="1" hidden="1" customWidth="1"/>
    <col min="22" max="22" width="18.5703125" style="1" hidden="1" customWidth="1"/>
    <col min="23" max="23" width="15.7109375" style="1" hidden="1" customWidth="1"/>
    <col min="24" max="24" width="25.28515625" style="1" hidden="1" customWidth="1"/>
    <col min="25" max="25" width="19" style="1" hidden="1" customWidth="1"/>
    <col min="26" max="26" width="15.7109375" style="1" hidden="1" customWidth="1"/>
    <col min="27" max="27" width="23" style="1" hidden="1" customWidth="1"/>
    <col min="28" max="28" width="13.140625" style="1" hidden="1" customWidth="1"/>
    <col min="29" max="29" width="19.5703125" style="1" hidden="1" customWidth="1"/>
    <col min="30" max="30" width="17.42578125" style="1" hidden="1" customWidth="1"/>
    <col min="31" max="31" width="32.42578125" style="1" hidden="1" customWidth="1"/>
    <col min="32" max="33" width="13.140625" style="1" hidden="1" customWidth="1"/>
    <col min="34" max="34" width="22.42578125" style="1" hidden="1" customWidth="1"/>
    <col min="35" max="35" width="16" style="1" hidden="1" customWidth="1"/>
    <col min="36" max="36" width="15.7109375" style="1" hidden="1" customWidth="1"/>
    <col min="37" max="37" width="16" style="1" hidden="1" customWidth="1"/>
    <col min="38" max="38" width="29.28515625" style="1" hidden="1" customWidth="1"/>
    <col min="39" max="40" width="16" style="1" hidden="1" customWidth="1"/>
    <col min="41" max="41" width="21" style="1" hidden="1" customWidth="1"/>
    <col min="42" max="42" width="19.85546875" style="1" hidden="1" customWidth="1"/>
    <col min="43" max="43" width="16.5703125" style="1" hidden="1" customWidth="1"/>
    <col min="44" max="16384" width="9.140625" style="1"/>
  </cols>
  <sheetData>
    <row r="1" spans="1:44" ht="45.75" hidden="1" outlineLevel="1" thickBot="1" x14ac:dyDescent="0.3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141"/>
      <c r="S1" s="141"/>
      <c r="AR1" s="140"/>
    </row>
    <row r="2" spans="1:44" ht="15.75" hidden="1" outlineLevel="1" thickBot="1" x14ac:dyDescent="0.3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SUM(AT2:AX2)</f>
        <v>0</v>
      </c>
      <c r="O2" s="141"/>
      <c r="P2" s="141"/>
      <c r="Q2" s="141"/>
      <c r="R2" s="141"/>
      <c r="S2" s="141"/>
      <c r="AR2" s="140"/>
    </row>
    <row r="3" spans="1:44" ht="15" outlineLevel="1" x14ac:dyDescent="0.25">
      <c r="G3" s="141"/>
      <c r="H3" s="141"/>
      <c r="I3" s="141"/>
      <c r="J3" s="141"/>
      <c r="K3" s="357" t="s">
        <v>170</v>
      </c>
      <c r="L3" s="357"/>
      <c r="M3" s="357"/>
      <c r="N3" s="357"/>
      <c r="O3" s="141"/>
      <c r="P3" s="141"/>
      <c r="Q3" s="141"/>
      <c r="R3" s="141"/>
      <c r="S3" s="141"/>
      <c r="AR3" s="140"/>
    </row>
    <row r="4" spans="1:44" ht="15" outlineLevel="1" x14ac:dyDescent="0.25">
      <c r="G4" s="141"/>
      <c r="H4" s="141"/>
      <c r="I4" s="141"/>
      <c r="J4" s="141"/>
      <c r="K4" s="357" t="s">
        <v>166</v>
      </c>
      <c r="L4" s="357"/>
      <c r="M4" s="357"/>
      <c r="N4" s="357"/>
      <c r="O4" s="141"/>
      <c r="P4" s="141"/>
      <c r="Q4" s="141"/>
      <c r="R4" s="141"/>
      <c r="S4" s="141"/>
      <c r="AR4" s="140"/>
    </row>
    <row r="5" spans="1:44" ht="18" customHeight="1" outlineLevel="1" x14ac:dyDescent="0.25">
      <c r="G5" s="141"/>
      <c r="H5" s="141"/>
      <c r="I5" s="141"/>
      <c r="J5" s="141"/>
      <c r="K5" s="357" t="s">
        <v>167</v>
      </c>
      <c r="L5" s="357"/>
      <c r="M5" s="357"/>
      <c r="N5" s="357"/>
      <c r="O5" s="141"/>
      <c r="P5" s="141"/>
      <c r="Q5" s="141"/>
      <c r="R5" s="141"/>
      <c r="S5" s="141"/>
      <c r="AR5" s="140"/>
    </row>
    <row r="6" spans="1:44" ht="48.75" customHeight="1" outlineLevel="1" x14ac:dyDescent="0.25">
      <c r="G6" s="141"/>
      <c r="H6" s="141"/>
      <c r="I6" s="141"/>
      <c r="J6" s="141"/>
      <c r="K6" s="490" t="s">
        <v>179</v>
      </c>
      <c r="L6" s="490"/>
      <c r="M6" s="490"/>
      <c r="N6" s="490"/>
      <c r="O6" s="141"/>
      <c r="P6" s="141"/>
      <c r="Q6" s="141"/>
      <c r="R6" s="141"/>
      <c r="S6" s="141"/>
      <c r="AR6" s="140"/>
    </row>
    <row r="7" spans="1:44" ht="15.75" outlineLevel="1" thickBot="1" x14ac:dyDescent="0.3">
      <c r="G7" s="141"/>
      <c r="H7" s="141"/>
      <c r="I7" s="141"/>
      <c r="J7" s="141"/>
      <c r="O7" s="141"/>
      <c r="P7" s="141"/>
      <c r="Q7" s="141"/>
      <c r="R7" s="141"/>
      <c r="S7" s="141"/>
      <c r="AR7" s="140"/>
    </row>
    <row r="8" spans="1:44" ht="57.75" customHeight="1" thickBot="1" x14ac:dyDescent="0.25">
      <c r="A8" s="139" t="s">
        <v>116</v>
      </c>
      <c r="B8" s="138" t="s">
        <v>115</v>
      </c>
      <c r="C8" s="138" t="s">
        <v>114</v>
      </c>
      <c r="D8" s="138" t="s">
        <v>113</v>
      </c>
      <c r="E8" s="138" t="s">
        <v>112</v>
      </c>
      <c r="F8" s="138" t="s">
        <v>111</v>
      </c>
      <c r="G8" s="138" t="s">
        <v>110</v>
      </c>
      <c r="H8" s="139" t="s">
        <v>116</v>
      </c>
      <c r="I8" s="138" t="s">
        <v>115</v>
      </c>
      <c r="J8" s="138" t="s">
        <v>114</v>
      </c>
      <c r="K8" s="138" t="s">
        <v>113</v>
      </c>
      <c r="L8" s="138" t="s">
        <v>112</v>
      </c>
      <c r="M8" s="138" t="s">
        <v>111</v>
      </c>
      <c r="N8" s="138" t="s">
        <v>110</v>
      </c>
      <c r="O8" s="139" t="s">
        <v>116</v>
      </c>
      <c r="P8" s="138" t="s">
        <v>115</v>
      </c>
      <c r="Q8" s="138" t="s">
        <v>114</v>
      </c>
      <c r="R8" s="138" t="s">
        <v>113</v>
      </c>
      <c r="S8" s="138" t="s">
        <v>112</v>
      </c>
      <c r="T8" s="138" t="s">
        <v>111</v>
      </c>
      <c r="U8" s="138" t="s">
        <v>110</v>
      </c>
      <c r="V8" s="139" t="s">
        <v>116</v>
      </c>
      <c r="W8" s="138" t="s">
        <v>115</v>
      </c>
      <c r="X8" s="138" t="s">
        <v>114</v>
      </c>
      <c r="Y8" s="138" t="s">
        <v>113</v>
      </c>
      <c r="Z8" s="138" t="s">
        <v>112</v>
      </c>
      <c r="AA8" s="138" t="s">
        <v>111</v>
      </c>
      <c r="AB8" s="138" t="s">
        <v>110</v>
      </c>
      <c r="AC8" s="139" t="s">
        <v>116</v>
      </c>
      <c r="AD8" s="138" t="s">
        <v>115</v>
      </c>
      <c r="AE8" s="138" t="s">
        <v>114</v>
      </c>
      <c r="AF8" s="138" t="s">
        <v>113</v>
      </c>
      <c r="AG8" s="138" t="s">
        <v>112</v>
      </c>
      <c r="AH8" s="138" t="s">
        <v>111</v>
      </c>
      <c r="AI8" s="138" t="s">
        <v>110</v>
      </c>
      <c r="AJ8" s="139" t="s">
        <v>116</v>
      </c>
      <c r="AK8" s="138" t="s">
        <v>115</v>
      </c>
      <c r="AL8" s="138" t="s">
        <v>114</v>
      </c>
      <c r="AM8" s="138" t="s">
        <v>113</v>
      </c>
      <c r="AN8" s="138" t="s">
        <v>112</v>
      </c>
      <c r="AO8" s="138" t="s">
        <v>111</v>
      </c>
      <c r="AP8" s="138" t="s">
        <v>110</v>
      </c>
    </row>
    <row r="9" spans="1:44" ht="15" thickBot="1" x14ac:dyDescent="0.25">
      <c r="A9" s="137">
        <v>1</v>
      </c>
      <c r="B9" s="136">
        <v>2</v>
      </c>
      <c r="C9" s="136">
        <v>3</v>
      </c>
      <c r="D9" s="136">
        <v>4</v>
      </c>
      <c r="E9" s="136">
        <v>5</v>
      </c>
      <c r="F9" s="136"/>
      <c r="G9" s="136">
        <v>6</v>
      </c>
      <c r="H9" s="404">
        <v>1</v>
      </c>
      <c r="I9" s="136">
        <v>2</v>
      </c>
      <c r="J9" s="136">
        <v>3</v>
      </c>
      <c r="K9" s="136">
        <v>4</v>
      </c>
      <c r="L9" s="136">
        <v>5</v>
      </c>
      <c r="M9" s="136"/>
      <c r="N9" s="136">
        <v>6</v>
      </c>
      <c r="O9" s="137">
        <v>1</v>
      </c>
      <c r="P9" s="136">
        <v>2</v>
      </c>
      <c r="Q9" s="136">
        <v>3</v>
      </c>
      <c r="R9" s="136">
        <v>4</v>
      </c>
      <c r="S9" s="136">
        <v>5</v>
      </c>
      <c r="T9" s="136"/>
      <c r="U9" s="136">
        <v>6</v>
      </c>
      <c r="V9" s="137">
        <v>1</v>
      </c>
      <c r="W9" s="136">
        <v>2</v>
      </c>
      <c r="X9" s="136">
        <v>3</v>
      </c>
      <c r="Y9" s="136">
        <v>4</v>
      </c>
      <c r="Z9" s="136">
        <v>5</v>
      </c>
      <c r="AA9" s="136"/>
      <c r="AB9" s="136">
        <v>6</v>
      </c>
      <c r="AC9" s="137">
        <v>1</v>
      </c>
      <c r="AD9" s="136">
        <v>2</v>
      </c>
      <c r="AE9" s="136">
        <v>3</v>
      </c>
      <c r="AF9" s="136">
        <v>4</v>
      </c>
      <c r="AG9" s="136">
        <v>5</v>
      </c>
      <c r="AH9" s="136"/>
      <c r="AI9" s="136">
        <v>6</v>
      </c>
      <c r="AJ9" s="137">
        <v>1</v>
      </c>
      <c r="AK9" s="136">
        <v>2</v>
      </c>
      <c r="AL9" s="136">
        <v>3</v>
      </c>
      <c r="AM9" s="136">
        <v>4</v>
      </c>
      <c r="AN9" s="136">
        <v>5</v>
      </c>
      <c r="AO9" s="136"/>
      <c r="AP9" s="136">
        <v>6</v>
      </c>
    </row>
    <row r="10" spans="1:44" ht="27" customHeight="1" thickBot="1" x14ac:dyDescent="0.25">
      <c r="A10" s="487" t="s">
        <v>109</v>
      </c>
      <c r="B10" s="463" t="s">
        <v>108</v>
      </c>
      <c r="C10" s="466" t="s">
        <v>100</v>
      </c>
      <c r="D10" s="466"/>
      <c r="E10" s="466"/>
      <c r="F10" s="466"/>
      <c r="G10" s="467"/>
      <c r="H10" s="491" t="s">
        <v>139</v>
      </c>
      <c r="I10" s="493" t="s">
        <v>152</v>
      </c>
      <c r="J10" s="466" t="s">
        <v>100</v>
      </c>
      <c r="K10" s="466"/>
      <c r="L10" s="466"/>
      <c r="M10" s="466"/>
      <c r="N10" s="467"/>
      <c r="O10" s="469" t="s">
        <v>107</v>
      </c>
      <c r="P10" s="463" t="s">
        <v>106</v>
      </c>
      <c r="Q10" s="466" t="s">
        <v>100</v>
      </c>
      <c r="R10" s="466"/>
      <c r="S10" s="466"/>
      <c r="T10" s="466"/>
      <c r="U10" s="467"/>
      <c r="V10" s="487" t="s">
        <v>104</v>
      </c>
      <c r="W10" s="463" t="s">
        <v>105</v>
      </c>
      <c r="X10" s="466" t="s">
        <v>100</v>
      </c>
      <c r="Y10" s="466"/>
      <c r="Z10" s="466"/>
      <c r="AA10" s="466"/>
      <c r="AB10" s="467"/>
      <c r="AC10" s="487" t="s">
        <v>104</v>
      </c>
      <c r="AD10" s="463" t="s">
        <v>103</v>
      </c>
      <c r="AE10" s="466" t="s">
        <v>100</v>
      </c>
      <c r="AF10" s="466"/>
      <c r="AG10" s="466"/>
      <c r="AH10" s="466"/>
      <c r="AI10" s="467"/>
      <c r="AJ10" s="487" t="s">
        <v>102</v>
      </c>
      <c r="AK10" s="463" t="s">
        <v>101</v>
      </c>
      <c r="AL10" s="466" t="s">
        <v>100</v>
      </c>
      <c r="AM10" s="466"/>
      <c r="AN10" s="466"/>
      <c r="AO10" s="466"/>
      <c r="AP10" s="467"/>
    </row>
    <row r="11" spans="1:44" ht="15" thickBot="1" x14ac:dyDescent="0.25">
      <c r="A11" s="488"/>
      <c r="B11" s="464"/>
      <c r="C11" s="466" t="s">
        <v>99</v>
      </c>
      <c r="D11" s="468"/>
      <c r="E11" s="466"/>
      <c r="F11" s="466"/>
      <c r="G11" s="467"/>
      <c r="H11" s="492"/>
      <c r="I11" s="494"/>
      <c r="J11" s="496" t="s">
        <v>99</v>
      </c>
      <c r="K11" s="468"/>
      <c r="L11" s="468"/>
      <c r="M11" s="468"/>
      <c r="N11" s="469"/>
      <c r="O11" s="472"/>
      <c r="P11" s="464"/>
      <c r="Q11" s="466" t="s">
        <v>99</v>
      </c>
      <c r="R11" s="466"/>
      <c r="S11" s="466"/>
      <c r="T11" s="468"/>
      <c r="U11" s="467"/>
      <c r="V11" s="488"/>
      <c r="W11" s="464"/>
      <c r="X11" s="466" t="s">
        <v>99</v>
      </c>
      <c r="Y11" s="466"/>
      <c r="Z11" s="466"/>
      <c r="AA11" s="468"/>
      <c r="AB11" s="467"/>
      <c r="AC11" s="488"/>
      <c r="AD11" s="464"/>
      <c r="AE11" s="466" t="s">
        <v>99</v>
      </c>
      <c r="AF11" s="466"/>
      <c r="AG11" s="466"/>
      <c r="AH11" s="468"/>
      <c r="AI11" s="467"/>
      <c r="AJ11" s="488"/>
      <c r="AK11" s="464"/>
      <c r="AL11" s="466" t="s">
        <v>99</v>
      </c>
      <c r="AM11" s="466"/>
      <c r="AN11" s="466"/>
      <c r="AO11" s="468"/>
      <c r="AP11" s="467"/>
    </row>
    <row r="12" spans="1:44" ht="29.25" hidden="1" customHeight="1" thickBot="1" x14ac:dyDescent="0.25">
      <c r="A12" s="488"/>
      <c r="B12" s="464"/>
      <c r="C12" s="9" t="s">
        <v>98</v>
      </c>
      <c r="D12" s="31" t="s">
        <v>37</v>
      </c>
      <c r="E12" s="38">
        <v>85.1</v>
      </c>
      <c r="F12" s="135">
        <v>46371030</v>
      </c>
      <c r="G12" s="133">
        <f>E12/F12</f>
        <v>1.8351975360478298E-6</v>
      </c>
      <c r="H12" s="492"/>
      <c r="I12" s="494"/>
      <c r="J12" s="194" t="s">
        <v>98</v>
      </c>
      <c r="K12" s="31" t="s">
        <v>37</v>
      </c>
      <c r="L12" s="41">
        <f>$G$12*M12</f>
        <v>40.139855818743563</v>
      </c>
      <c r="M12" s="20">
        <f>$F$12/$G$2*H2</f>
        <v>21872226.302780639</v>
      </c>
      <c r="N12" s="71" t="s">
        <v>149</v>
      </c>
      <c r="O12" s="472"/>
      <c r="P12" s="464"/>
      <c r="Q12" s="38" t="s">
        <v>98</v>
      </c>
      <c r="R12" s="31" t="s">
        <v>37</v>
      </c>
      <c r="S12" s="132">
        <f>$G$12*T12</f>
        <v>0.17528321318228629</v>
      </c>
      <c r="T12" s="20">
        <f>$F$12/$G$2*I2</f>
        <v>95511.905252317199</v>
      </c>
      <c r="U12" s="38"/>
      <c r="V12" s="488"/>
      <c r="W12" s="464"/>
      <c r="X12" s="38" t="s">
        <v>98</v>
      </c>
      <c r="Y12" s="31" t="s">
        <v>37</v>
      </c>
      <c r="Z12" s="132">
        <f>$G$12*AA12</f>
        <v>38.124098867147268</v>
      </c>
      <c r="AA12" s="20">
        <f>$F$12/$G$2*J2</f>
        <v>20773839.39237899</v>
      </c>
      <c r="AB12" s="38"/>
      <c r="AC12" s="488"/>
      <c r="AD12" s="464"/>
      <c r="AE12" s="38" t="s">
        <v>98</v>
      </c>
      <c r="AF12" s="31" t="s">
        <v>37</v>
      </c>
      <c r="AG12" s="131">
        <f>$G$12*AH12</f>
        <v>0.17528321318228629</v>
      </c>
      <c r="AH12" s="20">
        <f>$F$12/$G$2*K2</f>
        <v>95511.905252317199</v>
      </c>
      <c r="AI12" s="38"/>
      <c r="AJ12" s="488"/>
      <c r="AK12" s="464"/>
      <c r="AL12" s="38" t="s">
        <v>98</v>
      </c>
      <c r="AM12" s="31" t="s">
        <v>37</v>
      </c>
      <c r="AN12" s="131">
        <f>$G$12*AO12</f>
        <v>6.485478887744593</v>
      </c>
      <c r="AO12" s="20">
        <f>$F$12/$G$2*L2</f>
        <v>3533940.4943357361</v>
      </c>
      <c r="AP12" s="38"/>
      <c r="AQ12" s="4">
        <f t="shared" ref="AQ12:AQ43" si="0">E12-L12-S12-Z12-AG12-AN12</f>
        <v>0</v>
      </c>
    </row>
    <row r="13" spans="1:44" ht="43.5" thickBot="1" x14ac:dyDescent="0.25">
      <c r="A13" s="488"/>
      <c r="B13" s="464"/>
      <c r="C13" s="9" t="s">
        <v>97</v>
      </c>
      <c r="D13" s="31" t="s">
        <v>37</v>
      </c>
      <c r="E13" s="38">
        <v>85.1</v>
      </c>
      <c r="F13" s="134">
        <f>SUM(F12)</f>
        <v>46371030</v>
      </c>
      <c r="G13" s="133">
        <f>E13/F13</f>
        <v>1.8351975360478298E-6</v>
      </c>
      <c r="H13" s="492"/>
      <c r="I13" s="494"/>
      <c r="J13" s="194" t="s">
        <v>97</v>
      </c>
      <c r="K13" s="31" t="s">
        <v>37</v>
      </c>
      <c r="L13" s="41">
        <f>$G$13*M13</f>
        <v>40.139855818743563</v>
      </c>
      <c r="M13" s="130">
        <f>M12</f>
        <v>21872226.302780639</v>
      </c>
      <c r="N13" s="71" t="s">
        <v>151</v>
      </c>
      <c r="O13" s="472"/>
      <c r="P13" s="464"/>
      <c r="Q13" s="38" t="s">
        <v>97</v>
      </c>
      <c r="R13" s="31" t="s">
        <v>37</v>
      </c>
      <c r="S13" s="132">
        <f>$G$13*T13</f>
        <v>0.17528321318228629</v>
      </c>
      <c r="T13" s="130">
        <f>SUM(T12)</f>
        <v>95511.905252317199</v>
      </c>
      <c r="U13" s="38"/>
      <c r="V13" s="488"/>
      <c r="W13" s="464"/>
      <c r="X13" s="38" t="s">
        <v>97</v>
      </c>
      <c r="Y13" s="31" t="s">
        <v>37</v>
      </c>
      <c r="Z13" s="132">
        <f>$G$13*AA13</f>
        <v>38.124098867147268</v>
      </c>
      <c r="AA13" s="130">
        <f>SUM(AA12)</f>
        <v>20773839.39237899</v>
      </c>
      <c r="AB13" s="38"/>
      <c r="AC13" s="488"/>
      <c r="AD13" s="464"/>
      <c r="AE13" s="38" t="s">
        <v>97</v>
      </c>
      <c r="AF13" s="31" t="s">
        <v>37</v>
      </c>
      <c r="AG13" s="131">
        <f>$G$13*AH13</f>
        <v>0.17528321318228629</v>
      </c>
      <c r="AH13" s="130">
        <f>SUM(AH12)</f>
        <v>95511.905252317199</v>
      </c>
      <c r="AI13" s="38"/>
      <c r="AJ13" s="488"/>
      <c r="AK13" s="464"/>
      <c r="AL13" s="38" t="s">
        <v>97</v>
      </c>
      <c r="AM13" s="31" t="s">
        <v>37</v>
      </c>
      <c r="AN13" s="131">
        <f>$G$13*AO13</f>
        <v>6.485478887744593</v>
      </c>
      <c r="AO13" s="130">
        <f>SUM(AO12)</f>
        <v>3533940.4943357361</v>
      </c>
      <c r="AP13" s="38"/>
      <c r="AQ13" s="4">
        <f t="shared" si="0"/>
        <v>0</v>
      </c>
    </row>
    <row r="14" spans="1:44" x14ac:dyDescent="0.2">
      <c r="A14" s="488"/>
      <c r="B14" s="464"/>
      <c r="C14" s="468" t="s">
        <v>96</v>
      </c>
      <c r="D14" s="471"/>
      <c r="E14" s="468"/>
      <c r="F14" s="468"/>
      <c r="G14" s="469"/>
      <c r="H14" s="215"/>
      <c r="I14" s="494"/>
      <c r="J14" s="497" t="s">
        <v>96</v>
      </c>
      <c r="K14" s="471"/>
      <c r="L14" s="471"/>
      <c r="M14" s="471"/>
      <c r="N14" s="472"/>
      <c r="O14" s="472"/>
      <c r="P14" s="464"/>
      <c r="Q14" s="468" t="s">
        <v>96</v>
      </c>
      <c r="R14" s="468"/>
      <c r="S14" s="468"/>
      <c r="T14" s="471"/>
      <c r="U14" s="469"/>
      <c r="V14" s="488"/>
      <c r="W14" s="464"/>
      <c r="X14" s="468" t="s">
        <v>96</v>
      </c>
      <c r="Y14" s="468"/>
      <c r="Z14" s="468"/>
      <c r="AA14" s="471"/>
      <c r="AB14" s="469"/>
      <c r="AC14" s="488"/>
      <c r="AD14" s="464"/>
      <c r="AE14" s="468" t="s">
        <v>96</v>
      </c>
      <c r="AF14" s="468"/>
      <c r="AG14" s="468"/>
      <c r="AH14" s="471"/>
      <c r="AI14" s="469"/>
      <c r="AJ14" s="488"/>
      <c r="AK14" s="464"/>
      <c r="AL14" s="468" t="s">
        <v>96</v>
      </c>
      <c r="AM14" s="468"/>
      <c r="AN14" s="468"/>
      <c r="AO14" s="471"/>
      <c r="AP14" s="469"/>
      <c r="AQ14" s="4">
        <f t="shared" si="0"/>
        <v>0</v>
      </c>
    </row>
    <row r="15" spans="1:44" ht="113.25" customHeight="1" x14ac:dyDescent="0.2">
      <c r="A15" s="488"/>
      <c r="B15" s="465"/>
      <c r="C15" s="31" t="s">
        <v>95</v>
      </c>
      <c r="D15" s="31" t="s">
        <v>10</v>
      </c>
      <c r="E15" s="129">
        <v>5</v>
      </c>
      <c r="F15" s="32">
        <v>16000</v>
      </c>
      <c r="G15" s="31">
        <f>E15/F15</f>
        <v>3.1250000000000001E-4</v>
      </c>
      <c r="H15" s="215"/>
      <c r="I15" s="494"/>
      <c r="J15" s="194" t="s">
        <v>95</v>
      </c>
      <c r="K15" s="31" t="s">
        <v>10</v>
      </c>
      <c r="L15" s="13">
        <f>$G$15*M15-0.1</f>
        <v>2.2583934088568483</v>
      </c>
      <c r="M15" s="12">
        <f t="shared" ref="M15:M28" si="1">$M$29/$F$29*F15</f>
        <v>7546.8589083419147</v>
      </c>
      <c r="N15" s="71" t="s">
        <v>150</v>
      </c>
      <c r="O15" s="472"/>
      <c r="P15" s="465"/>
      <c r="Q15" s="31" t="s">
        <v>95</v>
      </c>
      <c r="R15" s="31" t="s">
        <v>10</v>
      </c>
      <c r="S15" s="13">
        <f>$G$15*T15+0.1</f>
        <v>0.11029866117404738</v>
      </c>
      <c r="T15" s="12">
        <f t="shared" ref="T15:T28" si="2">$T$29/$F$29*F15</f>
        <v>32.955715756951598</v>
      </c>
      <c r="U15" s="124"/>
      <c r="V15" s="488"/>
      <c r="W15" s="465"/>
      <c r="X15" s="31" t="s">
        <v>95</v>
      </c>
      <c r="Y15" s="31" t="s">
        <v>10</v>
      </c>
      <c r="Z15" s="13">
        <f>$G$15*AA15</f>
        <v>2.2399588053553039</v>
      </c>
      <c r="AA15" s="12">
        <f t="shared" ref="AA15:AA28" si="3">$AA$29/$F$29*F15</f>
        <v>7167.868177136972</v>
      </c>
      <c r="AB15" s="31"/>
      <c r="AC15" s="488"/>
      <c r="AD15" s="465"/>
      <c r="AE15" s="31" t="s">
        <v>95</v>
      </c>
      <c r="AF15" s="31" t="s">
        <v>10</v>
      </c>
      <c r="AG15" s="13">
        <f>$G$15*AH15+0.1</f>
        <v>0.11029866117404738</v>
      </c>
      <c r="AH15" s="12">
        <f t="shared" ref="AH15:AH28" si="4">$AH$29/$F$29*F15</f>
        <v>32.955715756951598</v>
      </c>
      <c r="AI15" s="31"/>
      <c r="AJ15" s="488"/>
      <c r="AK15" s="465"/>
      <c r="AL15" s="31" t="s">
        <v>95</v>
      </c>
      <c r="AM15" s="31" t="s">
        <v>10</v>
      </c>
      <c r="AN15" s="13">
        <f>$G$15*AO15</f>
        <v>0.38105046343975285</v>
      </c>
      <c r="AO15" s="12">
        <f t="shared" ref="AO15:AO28" si="5">$AO$29/$F$29*F15</f>
        <v>1219.361483007209</v>
      </c>
      <c r="AP15" s="31"/>
      <c r="AQ15" s="4">
        <f t="shared" si="0"/>
        <v>-9.99999999999997E-2</v>
      </c>
    </row>
    <row r="16" spans="1:44" ht="15" thickBot="1" x14ac:dyDescent="0.25">
      <c r="A16" s="488"/>
      <c r="B16" s="465"/>
      <c r="C16" s="128" t="s">
        <v>94</v>
      </c>
      <c r="D16" s="31" t="s">
        <v>10</v>
      </c>
      <c r="E16" s="13">
        <v>4</v>
      </c>
      <c r="F16" s="32">
        <v>12000</v>
      </c>
      <c r="G16" s="31">
        <f>E16/F16</f>
        <v>3.3333333333333332E-4</v>
      </c>
      <c r="H16" s="214"/>
      <c r="I16" s="494"/>
      <c r="J16" s="194" t="s">
        <v>94</v>
      </c>
      <c r="K16" s="31" t="s">
        <v>10</v>
      </c>
      <c r="L16" s="13">
        <f>$G$16*M16-0.1</f>
        <v>1.7867147270854786</v>
      </c>
      <c r="M16" s="12">
        <f t="shared" si="1"/>
        <v>5660.1441812564362</v>
      </c>
      <c r="N16" s="71" t="s">
        <v>150</v>
      </c>
      <c r="O16" s="472"/>
      <c r="P16" s="465"/>
      <c r="Q16" s="128" t="s">
        <v>94</v>
      </c>
      <c r="R16" s="31" t="s">
        <v>10</v>
      </c>
      <c r="S16" s="13">
        <f>$G$16*T16+0.1</f>
        <v>0.10823892893923791</v>
      </c>
      <c r="T16" s="12">
        <f t="shared" si="2"/>
        <v>24.716786817713697</v>
      </c>
      <c r="U16" s="124"/>
      <c r="V16" s="488"/>
      <c r="W16" s="465"/>
      <c r="X16" s="128" t="s">
        <v>94</v>
      </c>
      <c r="Y16" s="31" t="s">
        <v>10</v>
      </c>
      <c r="Z16" s="13">
        <f>$G$16*AA16</f>
        <v>1.791967044284243</v>
      </c>
      <c r="AA16" s="12">
        <f t="shared" si="3"/>
        <v>5375.9011328527295</v>
      </c>
      <c r="AB16" s="31"/>
      <c r="AC16" s="488"/>
      <c r="AD16" s="465"/>
      <c r="AE16" s="128" t="s">
        <v>94</v>
      </c>
      <c r="AF16" s="38"/>
      <c r="AG16" s="13">
        <f>$G$16*AH16+0.1</f>
        <v>0.10823892893923791</v>
      </c>
      <c r="AH16" s="12">
        <f t="shared" si="4"/>
        <v>24.716786817713697</v>
      </c>
      <c r="AI16" s="31"/>
      <c r="AJ16" s="488"/>
      <c r="AK16" s="465"/>
      <c r="AL16" s="128" t="s">
        <v>94</v>
      </c>
      <c r="AM16" s="31" t="s">
        <v>10</v>
      </c>
      <c r="AN16" s="13">
        <f>$G$16*AO16</f>
        <v>0.30484037075180226</v>
      </c>
      <c r="AO16" s="12">
        <f t="shared" si="5"/>
        <v>914.52111225540682</v>
      </c>
      <c r="AP16" s="31"/>
      <c r="AQ16" s="4">
        <f t="shared" si="0"/>
        <v>-0.10000000000000009</v>
      </c>
    </row>
    <row r="17" spans="1:43" ht="29.25" thickBot="1" x14ac:dyDescent="0.25">
      <c r="A17" s="488"/>
      <c r="B17" s="465"/>
      <c r="C17" s="31" t="s">
        <v>93</v>
      </c>
      <c r="D17" s="31" t="s">
        <v>10</v>
      </c>
      <c r="E17" s="13">
        <v>4</v>
      </c>
      <c r="F17" s="32">
        <v>5157</v>
      </c>
      <c r="G17" s="31">
        <f>E17/F17</f>
        <v>7.7564475470234633E-4</v>
      </c>
      <c r="H17" s="214"/>
      <c r="I17" s="494"/>
      <c r="J17" s="194" t="s">
        <v>93</v>
      </c>
      <c r="K17" s="31" t="s">
        <v>10</v>
      </c>
      <c r="L17" s="13">
        <f>$G$17*M17-0.1</f>
        <v>1.7867147270854786</v>
      </c>
      <c r="M17" s="12">
        <f t="shared" si="1"/>
        <v>2432.4469618949533</v>
      </c>
      <c r="N17" s="71" t="s">
        <v>150</v>
      </c>
      <c r="O17" s="472"/>
      <c r="P17" s="465"/>
      <c r="Q17" s="31" t="s">
        <v>93</v>
      </c>
      <c r="R17" s="31" t="s">
        <v>10</v>
      </c>
      <c r="S17" s="13">
        <f>$G$17*T17+0.1</f>
        <v>0.10823892893923791</v>
      </c>
      <c r="T17" s="12">
        <f t="shared" si="2"/>
        <v>10.622039134912461</v>
      </c>
      <c r="U17" s="124"/>
      <c r="V17" s="488"/>
      <c r="W17" s="465"/>
      <c r="X17" s="31" t="s">
        <v>93</v>
      </c>
      <c r="Y17" s="31" t="s">
        <v>10</v>
      </c>
      <c r="Z17" s="13">
        <f>$G$17*AA17</f>
        <v>1.791967044284243</v>
      </c>
      <c r="AA17" s="12">
        <f t="shared" si="3"/>
        <v>2310.2935118434602</v>
      </c>
      <c r="AB17" s="31"/>
      <c r="AC17" s="488"/>
      <c r="AD17" s="465"/>
      <c r="AE17" s="31" t="s">
        <v>93</v>
      </c>
      <c r="AF17" s="38" t="s">
        <v>10</v>
      </c>
      <c r="AG17" s="13">
        <f>$G$17*AH17+0.1</f>
        <v>0.10823892893923791</v>
      </c>
      <c r="AH17" s="12">
        <f t="shared" si="4"/>
        <v>10.622039134912461</v>
      </c>
      <c r="AI17" s="31"/>
      <c r="AJ17" s="488"/>
      <c r="AK17" s="465"/>
      <c r="AL17" s="31" t="s">
        <v>93</v>
      </c>
      <c r="AM17" s="31" t="s">
        <v>10</v>
      </c>
      <c r="AN17" s="13">
        <f>$G$17*AO17</f>
        <v>0.30484037075180226</v>
      </c>
      <c r="AO17" s="12">
        <f t="shared" si="5"/>
        <v>393.01544799176105</v>
      </c>
      <c r="AP17" s="31"/>
      <c r="AQ17" s="4">
        <f t="shared" si="0"/>
        <v>-0.10000000000000009</v>
      </c>
    </row>
    <row r="18" spans="1:43" ht="28.5" x14ac:dyDescent="0.2">
      <c r="A18" s="488"/>
      <c r="B18" s="465"/>
      <c r="C18" s="31" t="s">
        <v>92</v>
      </c>
      <c r="D18" s="127" t="s">
        <v>10</v>
      </c>
      <c r="E18" s="13">
        <v>2</v>
      </c>
      <c r="F18" s="32">
        <v>30494</v>
      </c>
      <c r="G18" s="126">
        <f>E18/F18</f>
        <v>6.5586672788089459E-5</v>
      </c>
      <c r="H18" s="214"/>
      <c r="I18" s="494"/>
      <c r="J18" s="194" t="s">
        <v>92</v>
      </c>
      <c r="K18" s="31" t="s">
        <v>10</v>
      </c>
      <c r="L18" s="13">
        <f>$G$18*M18-0.1</f>
        <v>0.84335736354273938</v>
      </c>
      <c r="M18" s="12">
        <f t="shared" si="1"/>
        <v>14383.369721936147</v>
      </c>
      <c r="N18" s="71" t="s">
        <v>150</v>
      </c>
      <c r="O18" s="472"/>
      <c r="P18" s="465"/>
      <c r="Q18" s="31" t="s">
        <v>92</v>
      </c>
      <c r="R18" s="127" t="s">
        <v>10</v>
      </c>
      <c r="S18" s="13">
        <f>$G$18*T18+0.1</f>
        <v>0.10411946446961895</v>
      </c>
      <c r="T18" s="12">
        <f t="shared" si="2"/>
        <v>62.809474768280118</v>
      </c>
      <c r="U18" s="124"/>
      <c r="V18" s="488"/>
      <c r="W18" s="465"/>
      <c r="X18" s="31" t="s">
        <v>92</v>
      </c>
      <c r="Y18" s="127" t="s">
        <v>10</v>
      </c>
      <c r="Z18" s="13">
        <f>$G$18*AA18-0.1</f>
        <v>0.79598352214212154</v>
      </c>
      <c r="AA18" s="12">
        <f t="shared" si="3"/>
        <v>13661.060762100928</v>
      </c>
      <c r="AB18" s="31"/>
      <c r="AC18" s="488"/>
      <c r="AD18" s="465"/>
      <c r="AE18" s="31" t="s">
        <v>92</v>
      </c>
      <c r="AF18" s="127" t="s">
        <v>10</v>
      </c>
      <c r="AG18" s="13">
        <f>$G$18*AH18+0.1</f>
        <v>0.10411946446961895</v>
      </c>
      <c r="AH18" s="12">
        <f t="shared" si="4"/>
        <v>62.809474768280118</v>
      </c>
      <c r="AI18" s="31"/>
      <c r="AJ18" s="488"/>
      <c r="AK18" s="465"/>
      <c r="AL18" s="31" t="s">
        <v>92</v>
      </c>
      <c r="AM18" s="127" t="s">
        <v>10</v>
      </c>
      <c r="AN18" s="13">
        <f>$G$18*AO18</f>
        <v>0.15242018537590113</v>
      </c>
      <c r="AO18" s="12">
        <f t="shared" si="5"/>
        <v>2323.9505664263647</v>
      </c>
      <c r="AP18" s="31"/>
      <c r="AQ18" s="4">
        <f t="shared" si="0"/>
        <v>0</v>
      </c>
    </row>
    <row r="19" spans="1:43" ht="14.25" hidden="1" customHeight="1" x14ac:dyDescent="0.2">
      <c r="A19" s="488"/>
      <c r="B19" s="465"/>
      <c r="C19" s="31"/>
      <c r="D19" s="46"/>
      <c r="E19" s="13"/>
      <c r="F19" s="32"/>
      <c r="G19" s="31"/>
      <c r="H19" s="214"/>
      <c r="I19" s="494"/>
      <c r="J19" s="194"/>
      <c r="K19" s="400"/>
      <c r="L19" s="13"/>
      <c r="M19" s="12">
        <f t="shared" si="1"/>
        <v>0</v>
      </c>
      <c r="N19" s="71"/>
      <c r="O19" s="472"/>
      <c r="P19" s="465"/>
      <c r="Q19" s="31"/>
      <c r="R19" s="46"/>
      <c r="S19" s="13"/>
      <c r="T19" s="12">
        <f t="shared" si="2"/>
        <v>0</v>
      </c>
      <c r="U19" s="124"/>
      <c r="V19" s="488"/>
      <c r="W19" s="465"/>
      <c r="X19" s="31"/>
      <c r="Y19" s="46"/>
      <c r="Z19" s="13"/>
      <c r="AA19" s="12">
        <f t="shared" si="3"/>
        <v>0</v>
      </c>
      <c r="AB19" s="31"/>
      <c r="AC19" s="488"/>
      <c r="AD19" s="465"/>
      <c r="AE19" s="31"/>
      <c r="AF19" s="46"/>
      <c r="AG19" s="13"/>
      <c r="AH19" s="12">
        <f t="shared" si="4"/>
        <v>0</v>
      </c>
      <c r="AI19" s="31"/>
      <c r="AJ19" s="488"/>
      <c r="AK19" s="465"/>
      <c r="AL19" s="31"/>
      <c r="AM19" s="46"/>
      <c r="AN19" s="13"/>
      <c r="AO19" s="12">
        <f t="shared" si="5"/>
        <v>0</v>
      </c>
      <c r="AP19" s="31"/>
      <c r="AQ19" s="4">
        <f t="shared" si="0"/>
        <v>0</v>
      </c>
    </row>
    <row r="20" spans="1:43" ht="42.75" x14ac:dyDescent="0.2">
      <c r="A20" s="488"/>
      <c r="B20" s="465"/>
      <c r="C20" s="31" t="s">
        <v>91</v>
      </c>
      <c r="D20" s="31" t="s">
        <v>89</v>
      </c>
      <c r="E20" s="13">
        <v>54</v>
      </c>
      <c r="F20" s="32">
        <f>82983.67+102410</f>
        <v>185393.66999999998</v>
      </c>
      <c r="G20" s="31">
        <f t="shared" ref="G20:G28" si="6">E20/F20</f>
        <v>2.9127208064870828E-4</v>
      </c>
      <c r="H20" s="214"/>
      <c r="I20" s="494"/>
      <c r="J20" s="194" t="s">
        <v>91</v>
      </c>
      <c r="K20" s="31" t="s">
        <v>89</v>
      </c>
      <c r="L20" s="13">
        <f>$G$20*M20</f>
        <v>25.470648815653963</v>
      </c>
      <c r="M20" s="12">
        <f t="shared" si="1"/>
        <v>87446.241874356318</v>
      </c>
      <c r="N20" s="71" t="s">
        <v>150</v>
      </c>
      <c r="O20" s="472"/>
      <c r="P20" s="465"/>
      <c r="Q20" s="31" t="s">
        <v>91</v>
      </c>
      <c r="R20" s="31" t="s">
        <v>89</v>
      </c>
      <c r="S20" s="13">
        <f>$G$20*T20</f>
        <v>0.11122554067971165</v>
      </c>
      <c r="T20" s="12">
        <f t="shared" si="2"/>
        <v>381.86131822863024</v>
      </c>
      <c r="U20" s="124"/>
      <c r="V20" s="488"/>
      <c r="W20" s="465"/>
      <c r="X20" s="31" t="s">
        <v>91</v>
      </c>
      <c r="Y20" s="31" t="s">
        <v>89</v>
      </c>
      <c r="Z20" s="13">
        <f>$G$20*AA20</f>
        <v>24.191555097837281</v>
      </c>
      <c r="AA20" s="12">
        <f t="shared" si="3"/>
        <v>83054.836714727076</v>
      </c>
      <c r="AB20" s="31"/>
      <c r="AC20" s="488"/>
      <c r="AD20" s="465"/>
      <c r="AE20" s="31" t="s">
        <v>91</v>
      </c>
      <c r="AF20" s="31" t="s">
        <v>89</v>
      </c>
      <c r="AG20" s="13">
        <f>$G$20*AH20</f>
        <v>0.11122554067971165</v>
      </c>
      <c r="AH20" s="12">
        <f t="shared" si="4"/>
        <v>381.86131822863024</v>
      </c>
      <c r="AI20" s="31"/>
      <c r="AJ20" s="488"/>
      <c r="AK20" s="465"/>
      <c r="AL20" s="31" t="s">
        <v>91</v>
      </c>
      <c r="AM20" s="31" t="s">
        <v>89</v>
      </c>
      <c r="AN20" s="13">
        <f>$G$20*AO20</f>
        <v>4.1153450051493312</v>
      </c>
      <c r="AO20" s="12">
        <f t="shared" si="5"/>
        <v>14128.868774459319</v>
      </c>
      <c r="AP20" s="31"/>
      <c r="AQ20" s="4">
        <f t="shared" si="0"/>
        <v>0</v>
      </c>
    </row>
    <row r="21" spans="1:43" ht="42.75" x14ac:dyDescent="0.2">
      <c r="A21" s="488"/>
      <c r="B21" s="465"/>
      <c r="C21" s="31" t="s">
        <v>90</v>
      </c>
      <c r="D21" s="31" t="s">
        <v>89</v>
      </c>
      <c r="E21" s="13">
        <v>68</v>
      </c>
      <c r="F21" s="32">
        <f>628975.88+98974</f>
        <v>727949.88</v>
      </c>
      <c r="G21" s="126">
        <f t="shared" si="6"/>
        <v>9.3413024534051706E-5</v>
      </c>
      <c r="H21" s="214"/>
      <c r="I21" s="494"/>
      <c r="J21" s="194" t="s">
        <v>90</v>
      </c>
      <c r="K21" s="31" t="s">
        <v>89</v>
      </c>
      <c r="L21" s="13">
        <f>$G$21*M21</f>
        <v>32.074150360453132</v>
      </c>
      <c r="M21" s="12">
        <f t="shared" si="1"/>
        <v>343358.43979402672</v>
      </c>
      <c r="N21" s="71" t="s">
        <v>150</v>
      </c>
      <c r="O21" s="472"/>
      <c r="P21" s="465"/>
      <c r="Q21" s="31" t="s">
        <v>90</v>
      </c>
      <c r="R21" s="31" t="s">
        <v>89</v>
      </c>
      <c r="S21" s="13">
        <f>$G$21*T21</f>
        <v>0.14006179196704427</v>
      </c>
      <c r="T21" s="12">
        <f t="shared" si="2"/>
        <v>1499.381833161689</v>
      </c>
      <c r="U21" s="124"/>
      <c r="V21" s="488"/>
      <c r="W21" s="465"/>
      <c r="X21" s="31" t="s">
        <v>90</v>
      </c>
      <c r="Y21" s="31" t="s">
        <v>89</v>
      </c>
      <c r="Z21" s="13">
        <f>$G$21*AA21</f>
        <v>30.46343975283213</v>
      </c>
      <c r="AA21" s="12">
        <f t="shared" si="3"/>
        <v>326115.54871266737</v>
      </c>
      <c r="AB21" s="31"/>
      <c r="AC21" s="488"/>
      <c r="AD21" s="465"/>
      <c r="AE21" s="31" t="s">
        <v>90</v>
      </c>
      <c r="AF21" s="31" t="s">
        <v>89</v>
      </c>
      <c r="AG21" s="13">
        <f>$G$21*AH21</f>
        <v>0.14006179196704427</v>
      </c>
      <c r="AH21" s="12">
        <f t="shared" si="4"/>
        <v>1499.381833161689</v>
      </c>
      <c r="AI21" s="31"/>
      <c r="AJ21" s="488"/>
      <c r="AK21" s="465"/>
      <c r="AL21" s="31" t="s">
        <v>90</v>
      </c>
      <c r="AM21" s="31" t="s">
        <v>89</v>
      </c>
      <c r="AN21" s="13">
        <f>$G$21*AO21</f>
        <v>5.1822863027806383</v>
      </c>
      <c r="AO21" s="12">
        <f t="shared" si="5"/>
        <v>55477.127826982491</v>
      </c>
      <c r="AP21" s="31"/>
      <c r="AQ21" s="4">
        <f t="shared" si="0"/>
        <v>1.3322676295501878E-14</v>
      </c>
    </row>
    <row r="22" spans="1:43" ht="28.5" x14ac:dyDescent="0.2">
      <c r="A22" s="488"/>
      <c r="B22" s="465"/>
      <c r="C22" s="31" t="s">
        <v>88</v>
      </c>
      <c r="D22" s="31" t="s">
        <v>10</v>
      </c>
      <c r="E22" s="13">
        <v>101</v>
      </c>
      <c r="F22" s="32">
        <v>88952.960000000006</v>
      </c>
      <c r="G22" s="31">
        <f t="shared" si="6"/>
        <v>1.1354315809164754E-3</v>
      </c>
      <c r="H22" s="214"/>
      <c r="I22" s="494"/>
      <c r="J22" s="194" t="s">
        <v>88</v>
      </c>
      <c r="K22" s="31" t="s">
        <v>10</v>
      </c>
      <c r="L22" s="13">
        <f>$G$22*M22</f>
        <v>47.639546858908339</v>
      </c>
      <c r="M22" s="12">
        <f t="shared" si="1"/>
        <v>41957.214912461379</v>
      </c>
      <c r="N22" s="71" t="s">
        <v>150</v>
      </c>
      <c r="O22" s="472"/>
      <c r="P22" s="465"/>
      <c r="Q22" s="31" t="s">
        <v>88</v>
      </c>
      <c r="R22" s="31" t="s">
        <v>10</v>
      </c>
      <c r="S22" s="13">
        <f>$G$22*T22</f>
        <v>0.20803295571575697</v>
      </c>
      <c r="T22" s="12">
        <f t="shared" si="2"/>
        <v>183.21927909371783</v>
      </c>
      <c r="U22" s="124"/>
      <c r="V22" s="488"/>
      <c r="W22" s="465"/>
      <c r="X22" s="31" t="s">
        <v>88</v>
      </c>
      <c r="Y22" s="31" t="s">
        <v>10</v>
      </c>
      <c r="Z22" s="13">
        <f>$G$22*AA22</f>
        <v>45.247167868177144</v>
      </c>
      <c r="AA22" s="12">
        <f t="shared" si="3"/>
        <v>39850.193202883631</v>
      </c>
      <c r="AB22" s="31"/>
      <c r="AC22" s="488"/>
      <c r="AD22" s="465"/>
      <c r="AE22" s="31" t="s">
        <v>88</v>
      </c>
      <c r="AF22" s="31" t="s">
        <v>10</v>
      </c>
      <c r="AG22" s="13">
        <f>$G$22*AH22</f>
        <v>0.20803295571575697</v>
      </c>
      <c r="AH22" s="12">
        <f t="shared" si="4"/>
        <v>183.21927909371783</v>
      </c>
      <c r="AI22" s="31"/>
      <c r="AJ22" s="488"/>
      <c r="AK22" s="465"/>
      <c r="AL22" s="31" t="s">
        <v>88</v>
      </c>
      <c r="AM22" s="31" t="s">
        <v>10</v>
      </c>
      <c r="AN22" s="13">
        <f>$G$22*AO22</f>
        <v>7.6972193614830084</v>
      </c>
      <c r="AO22" s="12">
        <f t="shared" si="5"/>
        <v>6779.11332646756</v>
      </c>
      <c r="AP22" s="31"/>
      <c r="AQ22" s="4">
        <f t="shared" si="0"/>
        <v>0</v>
      </c>
    </row>
    <row r="23" spans="1:43" ht="42.75" x14ac:dyDescent="0.2">
      <c r="A23" s="488"/>
      <c r="B23" s="465"/>
      <c r="C23" s="31" t="s">
        <v>87</v>
      </c>
      <c r="D23" s="31" t="s">
        <v>10</v>
      </c>
      <c r="E23" s="13">
        <v>1080</v>
      </c>
      <c r="F23" s="32">
        <v>147996.53078924544</v>
      </c>
      <c r="G23" s="31">
        <f t="shared" si="6"/>
        <v>7.2974683544303797E-3</v>
      </c>
      <c r="H23" s="214"/>
      <c r="I23" s="494"/>
      <c r="J23" s="194" t="s">
        <v>87</v>
      </c>
      <c r="K23" s="31" t="s">
        <v>10</v>
      </c>
      <c r="L23" s="13">
        <f>$G$23*M23</f>
        <v>509.41297631307924</v>
      </c>
      <c r="M23" s="12">
        <f t="shared" si="1"/>
        <v>69806.808549407215</v>
      </c>
      <c r="N23" s="71" t="s">
        <v>150</v>
      </c>
      <c r="O23" s="472"/>
      <c r="P23" s="465"/>
      <c r="Q23" s="31" t="s">
        <v>87</v>
      </c>
      <c r="R23" s="31" t="s">
        <v>10</v>
      </c>
      <c r="S23" s="13">
        <f>$G$23*T23</f>
        <v>2.2245108135942324</v>
      </c>
      <c r="T23" s="12">
        <f t="shared" si="2"/>
        <v>304.83322510658172</v>
      </c>
      <c r="U23" s="124"/>
      <c r="V23" s="488"/>
      <c r="W23" s="465"/>
      <c r="X23" s="31" t="s">
        <v>87</v>
      </c>
      <c r="Y23" s="31" t="s">
        <v>10</v>
      </c>
      <c r="Z23" s="13">
        <f>$G$23*AA23</f>
        <v>483.83110195674561</v>
      </c>
      <c r="AA23" s="12">
        <f t="shared" si="3"/>
        <v>66301.22646068153</v>
      </c>
      <c r="AB23" s="31"/>
      <c r="AC23" s="488"/>
      <c r="AD23" s="465"/>
      <c r="AE23" s="31" t="s">
        <v>87</v>
      </c>
      <c r="AF23" s="31" t="s">
        <v>10</v>
      </c>
      <c r="AG23" s="13">
        <f>$G$23*AH23</f>
        <v>2.2245108135942324</v>
      </c>
      <c r="AH23" s="12">
        <f t="shared" si="4"/>
        <v>304.83322510658172</v>
      </c>
      <c r="AI23" s="31"/>
      <c r="AJ23" s="488"/>
      <c r="AK23" s="465"/>
      <c r="AL23" s="31" t="s">
        <v>87</v>
      </c>
      <c r="AM23" s="31" t="s">
        <v>10</v>
      </c>
      <c r="AN23" s="13">
        <f>$G$23*AO23</f>
        <v>82.306900102986603</v>
      </c>
      <c r="AO23" s="12">
        <f t="shared" si="5"/>
        <v>11278.829328943524</v>
      </c>
      <c r="AP23" s="31"/>
      <c r="AQ23" s="4">
        <f t="shared" si="0"/>
        <v>0</v>
      </c>
    </row>
    <row r="24" spans="1:43" ht="42.75" x14ac:dyDescent="0.2">
      <c r="A24" s="488"/>
      <c r="B24" s="465"/>
      <c r="C24" s="31" t="s">
        <v>86</v>
      </c>
      <c r="D24" s="31" t="s">
        <v>10</v>
      </c>
      <c r="E24" s="125">
        <v>1600</v>
      </c>
      <c r="F24" s="32">
        <f>1285698.67+845000</f>
        <v>2130698.67</v>
      </c>
      <c r="G24" s="31">
        <f t="shared" si="6"/>
        <v>7.509273941584617E-4</v>
      </c>
      <c r="H24" s="214"/>
      <c r="I24" s="494"/>
      <c r="J24" s="194" t="s">
        <v>86</v>
      </c>
      <c r="K24" s="31" t="s">
        <v>10</v>
      </c>
      <c r="L24" s="13">
        <f>$G$24*M24</f>
        <v>754.68589083419147</v>
      </c>
      <c r="M24" s="12">
        <f t="shared" si="1"/>
        <v>1005005.1399176106</v>
      </c>
      <c r="N24" s="71" t="s">
        <v>150</v>
      </c>
      <c r="O24" s="472"/>
      <c r="P24" s="465"/>
      <c r="Q24" s="31" t="s">
        <v>86</v>
      </c>
      <c r="R24" s="31" t="s">
        <v>10</v>
      </c>
      <c r="S24" s="13">
        <f>$G$24*T24</f>
        <v>3.2955715756951598</v>
      </c>
      <c r="T24" s="12">
        <f t="shared" si="2"/>
        <v>4388.6687332646752</v>
      </c>
      <c r="U24" s="124"/>
      <c r="V24" s="488"/>
      <c r="W24" s="465"/>
      <c r="X24" s="31" t="s">
        <v>86</v>
      </c>
      <c r="Y24" s="31" t="s">
        <v>10</v>
      </c>
      <c r="Z24" s="13">
        <f>$G$24*AA24</f>
        <v>716.78681771369725</v>
      </c>
      <c r="AA24" s="12">
        <f t="shared" si="3"/>
        <v>954535.44948506693</v>
      </c>
      <c r="AB24" s="31"/>
      <c r="AC24" s="488"/>
      <c r="AD24" s="465"/>
      <c r="AE24" s="31" t="s">
        <v>86</v>
      </c>
      <c r="AF24" s="31" t="s">
        <v>10</v>
      </c>
      <c r="AG24" s="13">
        <f>$G$24*AH24</f>
        <v>3.2955715756951598</v>
      </c>
      <c r="AH24" s="12">
        <f t="shared" si="4"/>
        <v>4388.6687332646752</v>
      </c>
      <c r="AI24" s="31"/>
      <c r="AJ24" s="488"/>
      <c r="AK24" s="465"/>
      <c r="AL24" s="31" t="s">
        <v>86</v>
      </c>
      <c r="AM24" s="31" t="s">
        <v>10</v>
      </c>
      <c r="AN24" s="13">
        <f>$G$24*AO24</f>
        <v>121.9361483007209</v>
      </c>
      <c r="AO24" s="12">
        <f t="shared" si="5"/>
        <v>162380.74313079298</v>
      </c>
      <c r="AP24" s="31"/>
      <c r="AQ24" s="4">
        <f t="shared" si="0"/>
        <v>0</v>
      </c>
    </row>
    <row r="25" spans="1:43" x14ac:dyDescent="0.2">
      <c r="A25" s="488"/>
      <c r="B25" s="465"/>
      <c r="C25" s="31" t="s">
        <v>85</v>
      </c>
      <c r="D25" s="31" t="s">
        <v>10</v>
      </c>
      <c r="E25" s="13">
        <v>270</v>
      </c>
      <c r="F25" s="32">
        <f>17464+61306.9</f>
        <v>78770.899999999994</v>
      </c>
      <c r="G25" s="31">
        <f t="shared" si="6"/>
        <v>3.4276617380276223E-3</v>
      </c>
      <c r="H25" s="214"/>
      <c r="I25" s="494"/>
      <c r="J25" s="194" t="s">
        <v>85</v>
      </c>
      <c r="K25" s="31" t="s">
        <v>10</v>
      </c>
      <c r="L25" s="13">
        <f>$G$25*M25</f>
        <v>127.35324407826984</v>
      </c>
      <c r="M25" s="12">
        <f t="shared" si="1"/>
        <v>37154.554273944384</v>
      </c>
      <c r="N25" s="71" t="s">
        <v>150</v>
      </c>
      <c r="O25" s="472"/>
      <c r="P25" s="465"/>
      <c r="Q25" s="31" t="s">
        <v>85</v>
      </c>
      <c r="R25" s="31" t="s">
        <v>10</v>
      </c>
      <c r="S25" s="13">
        <f>$G$25*T25</f>
        <v>0.55612770339855822</v>
      </c>
      <c r="T25" s="12">
        <f t="shared" si="2"/>
        <v>162.24696189495364</v>
      </c>
      <c r="U25" s="124"/>
      <c r="V25" s="488"/>
      <c r="W25" s="465"/>
      <c r="X25" s="31" t="s">
        <v>85</v>
      </c>
      <c r="Y25" s="31" t="s">
        <v>10</v>
      </c>
      <c r="Z25" s="13">
        <f>$G$25*AA25</f>
        <v>120.9577754891864</v>
      </c>
      <c r="AA25" s="12">
        <f t="shared" si="3"/>
        <v>35288.714212152416</v>
      </c>
      <c r="AB25" s="31"/>
      <c r="AC25" s="488"/>
      <c r="AD25" s="465"/>
      <c r="AE25" s="31" t="s">
        <v>85</v>
      </c>
      <c r="AF25" s="31" t="s">
        <v>10</v>
      </c>
      <c r="AG25" s="13">
        <f>$G$25*AH25</f>
        <v>0.55612770339855822</v>
      </c>
      <c r="AH25" s="12">
        <f t="shared" si="4"/>
        <v>162.24696189495364</v>
      </c>
      <c r="AI25" s="31"/>
      <c r="AJ25" s="488"/>
      <c r="AK25" s="465"/>
      <c r="AL25" s="31" t="s">
        <v>85</v>
      </c>
      <c r="AM25" s="31" t="s">
        <v>10</v>
      </c>
      <c r="AN25" s="13">
        <f>$G$25*AO25</f>
        <v>20.576725025746654</v>
      </c>
      <c r="AO25" s="12">
        <f t="shared" si="5"/>
        <v>6003.1375901132851</v>
      </c>
      <c r="AP25" s="31"/>
      <c r="AQ25" s="4">
        <f t="shared" si="0"/>
        <v>0</v>
      </c>
    </row>
    <row r="26" spans="1:43" x14ac:dyDescent="0.2">
      <c r="A26" s="488"/>
      <c r="B26" s="465"/>
      <c r="C26" s="31" t="s">
        <v>84</v>
      </c>
      <c r="D26" s="31" t="s">
        <v>10</v>
      </c>
      <c r="E26" s="13">
        <v>89</v>
      </c>
      <c r="F26" s="32">
        <v>169343.68</v>
      </c>
      <c r="G26" s="31">
        <f t="shared" si="6"/>
        <v>5.2555843831904444E-4</v>
      </c>
      <c r="H26" s="214"/>
      <c r="I26" s="494"/>
      <c r="J26" s="194" t="s">
        <v>84</v>
      </c>
      <c r="K26" s="31" t="s">
        <v>10</v>
      </c>
      <c r="L26" s="13">
        <f>$G$26*M26</f>
        <v>41.979402677651898</v>
      </c>
      <c r="M26" s="12">
        <f t="shared" si="1"/>
        <v>79875.803748712657</v>
      </c>
      <c r="N26" s="71" t="s">
        <v>150</v>
      </c>
      <c r="O26" s="472"/>
      <c r="P26" s="465"/>
      <c r="Q26" s="31" t="s">
        <v>84</v>
      </c>
      <c r="R26" s="31" t="s">
        <v>10</v>
      </c>
      <c r="S26" s="13">
        <f>$G$26*T26</f>
        <v>0.18331616889804322</v>
      </c>
      <c r="T26" s="12">
        <f t="shared" si="2"/>
        <v>348.80263645726052</v>
      </c>
      <c r="U26" s="124"/>
      <c r="V26" s="488"/>
      <c r="W26" s="465"/>
      <c r="X26" s="31" t="s">
        <v>84</v>
      </c>
      <c r="Y26" s="31" t="s">
        <v>10</v>
      </c>
      <c r="Z26" s="13">
        <f>$G$26*AA26</f>
        <v>39.871266735324404</v>
      </c>
      <c r="AA26" s="12">
        <f t="shared" si="3"/>
        <v>75864.573429454162</v>
      </c>
      <c r="AB26" s="31"/>
      <c r="AC26" s="488"/>
      <c r="AD26" s="465"/>
      <c r="AE26" s="31" t="s">
        <v>84</v>
      </c>
      <c r="AF26" s="31" t="s">
        <v>10</v>
      </c>
      <c r="AG26" s="13">
        <f>$G$26*AH26</f>
        <v>0.18331616889804322</v>
      </c>
      <c r="AH26" s="12">
        <f t="shared" si="4"/>
        <v>348.80263645726052</v>
      </c>
      <c r="AI26" s="31"/>
      <c r="AJ26" s="488"/>
      <c r="AK26" s="465"/>
      <c r="AL26" s="31" t="s">
        <v>84</v>
      </c>
      <c r="AM26" s="31" t="s">
        <v>10</v>
      </c>
      <c r="AN26" s="13">
        <f>$G$26*AO26</f>
        <v>6.7826982492275993</v>
      </c>
      <c r="AO26" s="12">
        <f t="shared" si="5"/>
        <v>12905.697548918639</v>
      </c>
      <c r="AP26" s="31"/>
      <c r="AQ26" s="4">
        <f t="shared" si="0"/>
        <v>9.7699626167013776E-15</v>
      </c>
    </row>
    <row r="27" spans="1:43" x14ac:dyDescent="0.2">
      <c r="A27" s="488"/>
      <c r="B27" s="465"/>
      <c r="C27" s="31" t="s">
        <v>83</v>
      </c>
      <c r="D27" s="31" t="s">
        <v>10</v>
      </c>
      <c r="E27" s="13">
        <v>80</v>
      </c>
      <c r="F27" s="32">
        <v>20000</v>
      </c>
      <c r="G27" s="31">
        <f t="shared" si="6"/>
        <v>4.0000000000000001E-3</v>
      </c>
      <c r="H27" s="214"/>
      <c r="I27" s="494"/>
      <c r="J27" s="194" t="s">
        <v>83</v>
      </c>
      <c r="K27" s="31" t="s">
        <v>10</v>
      </c>
      <c r="L27" s="13">
        <f>$G$27*M27</f>
        <v>37.734294541709573</v>
      </c>
      <c r="M27" s="12">
        <f t="shared" si="1"/>
        <v>9433.573635427394</v>
      </c>
      <c r="N27" s="71" t="s">
        <v>150</v>
      </c>
      <c r="O27" s="472"/>
      <c r="P27" s="465"/>
      <c r="Q27" s="31" t="s">
        <v>83</v>
      </c>
      <c r="R27" s="31" t="s">
        <v>10</v>
      </c>
      <c r="S27" s="13">
        <f>$G$27*T27</f>
        <v>0.16477857878475796</v>
      </c>
      <c r="T27" s="12">
        <f t="shared" si="2"/>
        <v>41.194644696189492</v>
      </c>
      <c r="U27" s="124"/>
      <c r="V27" s="488"/>
      <c r="W27" s="465"/>
      <c r="X27" s="31" t="s">
        <v>83</v>
      </c>
      <c r="Y27" s="31" t="s">
        <v>10</v>
      </c>
      <c r="Z27" s="13">
        <f>$G$27*AA27</f>
        <v>35.839340885684862</v>
      </c>
      <c r="AA27" s="12">
        <f t="shared" si="3"/>
        <v>8959.8352214212155</v>
      </c>
      <c r="AB27" s="31"/>
      <c r="AC27" s="488"/>
      <c r="AD27" s="465"/>
      <c r="AE27" s="31" t="s">
        <v>83</v>
      </c>
      <c r="AF27" s="31" t="s">
        <v>10</v>
      </c>
      <c r="AG27" s="13">
        <f>$G$27*AH27</f>
        <v>0.16477857878475796</v>
      </c>
      <c r="AH27" s="12">
        <f t="shared" si="4"/>
        <v>41.194644696189492</v>
      </c>
      <c r="AI27" s="31"/>
      <c r="AJ27" s="488"/>
      <c r="AK27" s="465"/>
      <c r="AL27" s="31" t="s">
        <v>83</v>
      </c>
      <c r="AM27" s="31" t="s">
        <v>10</v>
      </c>
      <c r="AN27" s="13">
        <f>$G$27*AO27</f>
        <v>6.0968074150360456</v>
      </c>
      <c r="AO27" s="12">
        <f t="shared" si="5"/>
        <v>1524.2018537590113</v>
      </c>
      <c r="AP27" s="31"/>
      <c r="AQ27" s="4">
        <f t="shared" si="0"/>
        <v>0</v>
      </c>
    </row>
    <row r="28" spans="1:43" ht="15" thickBot="1" x14ac:dyDescent="0.25">
      <c r="A28" s="488"/>
      <c r="B28" s="465"/>
      <c r="C28" s="31" t="s">
        <v>82</v>
      </c>
      <c r="D28" s="31" t="s">
        <v>10</v>
      </c>
      <c r="E28" s="13">
        <v>520</v>
      </c>
      <c r="F28" s="32">
        <v>34776.748999999996</v>
      </c>
      <c r="G28" s="31">
        <f t="shared" si="6"/>
        <v>1.4952518994803109E-2</v>
      </c>
      <c r="H28" s="214"/>
      <c r="I28" s="494"/>
      <c r="J28" s="194" t="s">
        <v>82</v>
      </c>
      <c r="K28" s="31" t="s">
        <v>10</v>
      </c>
      <c r="L28" s="13">
        <f>$G$28*M28</f>
        <v>245.2729145211122</v>
      </c>
      <c r="M28" s="12">
        <f t="shared" si="1"/>
        <v>16403.451124613795</v>
      </c>
      <c r="N28" s="71" t="s">
        <v>150</v>
      </c>
      <c r="O28" s="472"/>
      <c r="P28" s="465"/>
      <c r="Q28" s="31" t="s">
        <v>82</v>
      </c>
      <c r="R28" s="31" t="s">
        <v>10</v>
      </c>
      <c r="S28" s="13">
        <f>$G$28*T28</f>
        <v>1.0710607621009269</v>
      </c>
      <c r="T28" s="12">
        <f t="shared" si="2"/>
        <v>71.630790937178162</v>
      </c>
      <c r="U28" s="124"/>
      <c r="V28" s="488"/>
      <c r="W28" s="465"/>
      <c r="X28" s="31" t="s">
        <v>82</v>
      </c>
      <c r="Y28" s="31" t="s">
        <v>10</v>
      </c>
      <c r="Z28" s="13">
        <f>$G$28*AA28</f>
        <v>232.95571575695161</v>
      </c>
      <c r="AA28" s="12">
        <f t="shared" si="3"/>
        <v>15579.69702883625</v>
      </c>
      <c r="AB28" s="31"/>
      <c r="AC28" s="488"/>
      <c r="AD28" s="465"/>
      <c r="AE28" s="31" t="s">
        <v>82</v>
      </c>
      <c r="AF28" s="31" t="s">
        <v>10</v>
      </c>
      <c r="AG28" s="13">
        <f>$G$28*AH28</f>
        <v>1.0710607621009269</v>
      </c>
      <c r="AH28" s="12">
        <f t="shared" si="4"/>
        <v>71.630790937178162</v>
      </c>
      <c r="AI28" s="31"/>
      <c r="AJ28" s="488"/>
      <c r="AK28" s="465"/>
      <c r="AL28" s="31" t="s">
        <v>82</v>
      </c>
      <c r="AM28" s="31" t="s">
        <v>10</v>
      </c>
      <c r="AN28" s="13">
        <f>$G$28*AO28</f>
        <v>39.629248197734292</v>
      </c>
      <c r="AO28" s="12">
        <f t="shared" si="5"/>
        <v>2650.3392646755919</v>
      </c>
      <c r="AP28" s="31"/>
      <c r="AQ28" s="4">
        <f t="shared" si="0"/>
        <v>1.0658141036401503E-13</v>
      </c>
    </row>
    <row r="29" spans="1:43" ht="15" hidden="1" customHeight="1" thickBot="1" x14ac:dyDescent="0.25">
      <c r="A29" s="488"/>
      <c r="B29" s="464"/>
      <c r="C29" s="111" t="s">
        <v>2</v>
      </c>
      <c r="D29" s="110"/>
      <c r="E29" s="109"/>
      <c r="F29" s="112">
        <f>SUM(F15:F28)</f>
        <v>3647534.0397892455</v>
      </c>
      <c r="G29" s="108">
        <f>SUM(G24:G28)</f>
        <v>2.3656666565308238E-2</v>
      </c>
      <c r="H29" s="214"/>
      <c r="I29" s="494"/>
      <c r="J29" s="111" t="s">
        <v>2</v>
      </c>
      <c r="K29" s="110"/>
      <c r="L29" s="109"/>
      <c r="M29" s="195">
        <f>$F$29/$G$2*H2</f>
        <v>1720464.04760399</v>
      </c>
      <c r="N29" s="108">
        <f>SUM(N24:N28)</f>
        <v>0</v>
      </c>
      <c r="O29" s="472"/>
      <c r="P29" s="464"/>
      <c r="Q29" s="111" t="s">
        <v>2</v>
      </c>
      <c r="R29" s="110"/>
      <c r="S29" s="109"/>
      <c r="T29" s="68">
        <f>$F$29/$G$2*I2</f>
        <v>7512.9434393187339</v>
      </c>
      <c r="U29" s="108">
        <f>SUM(U24:U28)</f>
        <v>0</v>
      </c>
      <c r="V29" s="488"/>
      <c r="W29" s="464"/>
      <c r="X29" s="111" t="s">
        <v>2</v>
      </c>
      <c r="Y29" s="110"/>
      <c r="Z29" s="109"/>
      <c r="AA29" s="51">
        <f>$F$29/$G$2*J2</f>
        <v>1634065.1980518247</v>
      </c>
      <c r="AB29" s="108">
        <f>SUM(AB24:AB28)</f>
        <v>0</v>
      </c>
      <c r="AC29" s="488"/>
      <c r="AD29" s="464"/>
      <c r="AE29" s="111" t="s">
        <v>2</v>
      </c>
      <c r="AF29" s="110"/>
      <c r="AG29" s="109"/>
      <c r="AH29" s="51">
        <f>$F$29/$G$2*K2</f>
        <v>7512.9434393187339</v>
      </c>
      <c r="AI29" s="108">
        <f>SUM(AI24:AI28)</f>
        <v>0</v>
      </c>
      <c r="AJ29" s="488"/>
      <c r="AK29" s="464"/>
      <c r="AL29" s="111" t="s">
        <v>2</v>
      </c>
      <c r="AM29" s="110"/>
      <c r="AN29" s="109"/>
      <c r="AO29" s="51">
        <f>$F$29/$G$2*L2</f>
        <v>277978.90725479316</v>
      </c>
      <c r="AP29" s="108">
        <f>SUM(AP24:AP28)</f>
        <v>0</v>
      </c>
      <c r="AQ29" s="4">
        <f t="shared" si="0"/>
        <v>0</v>
      </c>
    </row>
    <row r="30" spans="1:43" ht="15" thickBot="1" x14ac:dyDescent="0.25">
      <c r="A30" s="488"/>
      <c r="B30" s="464"/>
      <c r="C30" s="466" t="s">
        <v>81</v>
      </c>
      <c r="D30" s="466"/>
      <c r="E30" s="466"/>
      <c r="F30" s="466"/>
      <c r="G30" s="467"/>
      <c r="H30" s="214"/>
      <c r="I30" s="494"/>
      <c r="J30" s="470" t="s">
        <v>81</v>
      </c>
      <c r="K30" s="466"/>
      <c r="L30" s="466"/>
      <c r="M30" s="466"/>
      <c r="N30" s="467"/>
      <c r="O30" s="472"/>
      <c r="P30" s="464"/>
      <c r="Q30" s="466" t="s">
        <v>81</v>
      </c>
      <c r="R30" s="466"/>
      <c r="S30" s="466"/>
      <c r="T30" s="498"/>
      <c r="U30" s="467"/>
      <c r="V30" s="488"/>
      <c r="W30" s="464"/>
      <c r="X30" s="466" t="s">
        <v>81</v>
      </c>
      <c r="Y30" s="466"/>
      <c r="Z30" s="466"/>
      <c r="AA30" s="466"/>
      <c r="AB30" s="467"/>
      <c r="AC30" s="488"/>
      <c r="AD30" s="464"/>
      <c r="AE30" s="466" t="s">
        <v>81</v>
      </c>
      <c r="AF30" s="466"/>
      <c r="AG30" s="466"/>
      <c r="AH30" s="466"/>
      <c r="AI30" s="467"/>
      <c r="AJ30" s="488"/>
      <c r="AK30" s="464"/>
      <c r="AL30" s="466" t="s">
        <v>81</v>
      </c>
      <c r="AM30" s="466"/>
      <c r="AN30" s="466"/>
      <c r="AO30" s="466"/>
      <c r="AP30" s="467"/>
      <c r="AQ30" s="4">
        <f t="shared" si="0"/>
        <v>0</v>
      </c>
    </row>
    <row r="31" spans="1:43" ht="15" thickBot="1" x14ac:dyDescent="0.25">
      <c r="A31" s="488"/>
      <c r="B31" s="464"/>
      <c r="C31" s="38"/>
      <c r="D31" s="38"/>
      <c r="E31" s="38"/>
      <c r="F31" s="38"/>
      <c r="G31" s="38"/>
      <c r="H31" s="214"/>
      <c r="I31" s="494"/>
      <c r="J31" s="10" t="s">
        <v>140</v>
      </c>
      <c r="K31" s="38" t="s">
        <v>140</v>
      </c>
      <c r="L31" s="38" t="s">
        <v>140</v>
      </c>
      <c r="M31" s="38"/>
      <c r="N31" s="38" t="s">
        <v>140</v>
      </c>
      <c r="O31" s="472"/>
      <c r="P31" s="464"/>
      <c r="Q31" s="38"/>
      <c r="R31" s="38"/>
      <c r="S31" s="38"/>
      <c r="T31" s="38"/>
      <c r="U31" s="38"/>
      <c r="V31" s="488"/>
      <c r="W31" s="464"/>
      <c r="X31" s="38"/>
      <c r="Y31" s="38"/>
      <c r="Z31" s="38"/>
      <c r="AA31" s="38"/>
      <c r="AB31" s="38"/>
      <c r="AC31" s="488"/>
      <c r="AD31" s="464"/>
      <c r="AE31" s="38"/>
      <c r="AF31" s="38"/>
      <c r="AG31" s="38"/>
      <c r="AH31" s="38"/>
      <c r="AI31" s="38"/>
      <c r="AJ31" s="488"/>
      <c r="AK31" s="464"/>
      <c r="AL31" s="38"/>
      <c r="AM31" s="38"/>
      <c r="AN31" s="38"/>
      <c r="AO31" s="38"/>
      <c r="AP31" s="38"/>
      <c r="AQ31" s="4" t="e">
        <f t="shared" si="0"/>
        <v>#VALUE!</v>
      </c>
    </row>
    <row r="32" spans="1:43" ht="15" hidden="1" customHeight="1" thickBot="1" x14ac:dyDescent="0.25">
      <c r="A32" s="488"/>
      <c r="B32" s="473"/>
      <c r="C32" s="38"/>
      <c r="D32" s="38"/>
      <c r="E32" s="38"/>
      <c r="F32" s="38"/>
      <c r="G32" s="38"/>
      <c r="H32" s="214"/>
      <c r="I32" s="495"/>
      <c r="J32" s="10"/>
      <c r="K32" s="38"/>
      <c r="L32" s="38"/>
      <c r="M32" s="38"/>
      <c r="N32" s="38"/>
      <c r="O32" s="472"/>
      <c r="P32" s="473"/>
      <c r="Q32" s="38"/>
      <c r="R32" s="38"/>
      <c r="S32" s="38"/>
      <c r="T32" s="38"/>
      <c r="U32" s="38"/>
      <c r="V32" s="488"/>
      <c r="W32" s="473"/>
      <c r="X32" s="38"/>
      <c r="Y32" s="38"/>
      <c r="Z32" s="38"/>
      <c r="AA32" s="38"/>
      <c r="AB32" s="38"/>
      <c r="AC32" s="488"/>
      <c r="AD32" s="473"/>
      <c r="AE32" s="38"/>
      <c r="AF32" s="38"/>
      <c r="AG32" s="38"/>
      <c r="AH32" s="38"/>
      <c r="AI32" s="38"/>
      <c r="AJ32" s="488"/>
      <c r="AK32" s="473"/>
      <c r="AL32" s="38"/>
      <c r="AM32" s="38"/>
      <c r="AN32" s="38"/>
      <c r="AO32" s="38"/>
      <c r="AP32" s="38"/>
      <c r="AQ32" s="4">
        <f t="shared" si="0"/>
        <v>0</v>
      </c>
    </row>
    <row r="33" spans="1:43" ht="15" thickBot="1" x14ac:dyDescent="0.25">
      <c r="A33" s="488"/>
      <c r="B33" s="463"/>
      <c r="C33" s="466" t="s">
        <v>80</v>
      </c>
      <c r="D33" s="466"/>
      <c r="E33" s="466"/>
      <c r="F33" s="466"/>
      <c r="G33" s="467"/>
      <c r="H33" s="214"/>
      <c r="I33" s="463"/>
      <c r="J33" s="466" t="s">
        <v>80</v>
      </c>
      <c r="K33" s="466"/>
      <c r="L33" s="466"/>
      <c r="M33" s="466"/>
      <c r="N33" s="467"/>
      <c r="O33" s="472"/>
      <c r="P33" s="463"/>
      <c r="Q33" s="466" t="s">
        <v>80</v>
      </c>
      <c r="R33" s="466"/>
      <c r="S33" s="466"/>
      <c r="T33" s="466"/>
      <c r="U33" s="467"/>
      <c r="V33" s="488"/>
      <c r="W33" s="463"/>
      <c r="X33" s="466" t="s">
        <v>80</v>
      </c>
      <c r="Y33" s="466"/>
      <c r="Z33" s="466"/>
      <c r="AA33" s="466"/>
      <c r="AB33" s="467"/>
      <c r="AC33" s="488"/>
      <c r="AD33" s="463"/>
      <c r="AE33" s="466" t="s">
        <v>80</v>
      </c>
      <c r="AF33" s="466"/>
      <c r="AG33" s="466"/>
      <c r="AH33" s="466"/>
      <c r="AI33" s="467"/>
      <c r="AJ33" s="488"/>
      <c r="AK33" s="463"/>
      <c r="AL33" s="466" t="s">
        <v>80</v>
      </c>
      <c r="AM33" s="466"/>
      <c r="AN33" s="466"/>
      <c r="AO33" s="466"/>
      <c r="AP33" s="467"/>
      <c r="AQ33" s="4">
        <f t="shared" si="0"/>
        <v>0</v>
      </c>
    </row>
    <row r="34" spans="1:43" x14ac:dyDescent="0.2">
      <c r="A34" s="488"/>
      <c r="B34" s="464"/>
      <c r="C34" s="468" t="s">
        <v>79</v>
      </c>
      <c r="D34" s="468"/>
      <c r="E34" s="468"/>
      <c r="F34" s="468"/>
      <c r="G34" s="469"/>
      <c r="H34" s="214"/>
      <c r="I34" s="464"/>
      <c r="J34" s="468" t="s">
        <v>79</v>
      </c>
      <c r="K34" s="468"/>
      <c r="L34" s="468"/>
      <c r="M34" s="468"/>
      <c r="N34" s="469"/>
      <c r="O34" s="472"/>
      <c r="P34" s="464"/>
      <c r="Q34" s="468" t="s">
        <v>79</v>
      </c>
      <c r="R34" s="468"/>
      <c r="S34" s="468"/>
      <c r="T34" s="468"/>
      <c r="U34" s="469"/>
      <c r="V34" s="488"/>
      <c r="W34" s="464"/>
      <c r="X34" s="468" t="s">
        <v>79</v>
      </c>
      <c r="Y34" s="468"/>
      <c r="Z34" s="468"/>
      <c r="AA34" s="468"/>
      <c r="AB34" s="469"/>
      <c r="AC34" s="488"/>
      <c r="AD34" s="464"/>
      <c r="AE34" s="468" t="s">
        <v>79</v>
      </c>
      <c r="AF34" s="468"/>
      <c r="AG34" s="468"/>
      <c r="AH34" s="468"/>
      <c r="AI34" s="469"/>
      <c r="AJ34" s="488"/>
      <c r="AK34" s="464"/>
      <c r="AL34" s="468" t="s">
        <v>79</v>
      </c>
      <c r="AM34" s="468"/>
      <c r="AN34" s="468"/>
      <c r="AO34" s="468"/>
      <c r="AP34" s="469"/>
      <c r="AQ34" s="4">
        <f t="shared" si="0"/>
        <v>0</v>
      </c>
    </row>
    <row r="35" spans="1:43" x14ac:dyDescent="0.2">
      <c r="A35" s="488"/>
      <c r="B35" s="465"/>
      <c r="C35" s="123" t="s">
        <v>78</v>
      </c>
      <c r="D35" s="122" t="s">
        <v>77</v>
      </c>
      <c r="E35" s="72">
        <v>187000</v>
      </c>
      <c r="F35" s="12">
        <v>1273617.73</v>
      </c>
      <c r="G35" s="94">
        <f>E35/F35</f>
        <v>0.14682584545992461</v>
      </c>
      <c r="H35" s="214"/>
      <c r="I35" s="464"/>
      <c r="J35" s="200" t="s">
        <v>78</v>
      </c>
      <c r="K35" s="122" t="s">
        <v>77</v>
      </c>
      <c r="L35" s="72">
        <f>$G$35*M35</f>
        <v>96330.993987828901</v>
      </c>
      <c r="M35" s="12">
        <f t="shared" ref="M35:M41" si="7">$M$42/$F$42*F35</f>
        <v>656090.17054236529</v>
      </c>
      <c r="N35" s="91" t="s">
        <v>150</v>
      </c>
      <c r="O35" s="472"/>
      <c r="P35" s="465"/>
      <c r="Q35" s="123" t="s">
        <v>78</v>
      </c>
      <c r="R35" s="122" t="s">
        <v>77</v>
      </c>
      <c r="S35" s="72">
        <f>$G$35*T35</f>
        <v>420.65936239226596</v>
      </c>
      <c r="T35" s="12">
        <f t="shared" ref="T35:T41" si="8">$T$42/$F$42*F35</f>
        <v>2865.0225787876211</v>
      </c>
      <c r="U35" s="121"/>
      <c r="V35" s="488"/>
      <c r="W35" s="465"/>
      <c r="X35" s="123" t="s">
        <v>78</v>
      </c>
      <c r="Y35" s="122" t="s">
        <v>77</v>
      </c>
      <c r="Z35" s="72">
        <f>$G$35*AA35</f>
        <v>76825.891777602985</v>
      </c>
      <c r="AA35" s="12">
        <f t="shared" ref="AA35:AA41" si="9">$AA$42/$F$42*F35</f>
        <v>523245.0154599807</v>
      </c>
      <c r="AB35" s="121"/>
      <c r="AC35" s="488"/>
      <c r="AD35" s="465"/>
      <c r="AE35" s="123" t="s">
        <v>78</v>
      </c>
      <c r="AF35" s="122" t="s">
        <v>77</v>
      </c>
      <c r="AG35" s="72">
        <f>$G$35*AH35</f>
        <v>353.22249093150799</v>
      </c>
      <c r="AH35" s="12">
        <f t="shared" ref="AH35:AH41" si="10">$AH$42/$F$42*F35</f>
        <v>2405.7242090114055</v>
      </c>
      <c r="AI35" s="121"/>
      <c r="AJ35" s="488"/>
      <c r="AK35" s="465"/>
      <c r="AL35" s="123" t="s">
        <v>78</v>
      </c>
      <c r="AM35" s="122" t="s">
        <v>77</v>
      </c>
      <c r="AN35" s="72">
        <f>$G$35*AO35</f>
        <v>13069.232164465797</v>
      </c>
      <c r="AO35" s="12">
        <f t="shared" ref="AO35:AO41" si="11">$AO$42/$F$42*F35</f>
        <v>89011.795733422012</v>
      </c>
      <c r="AP35" s="121"/>
      <c r="AQ35" s="4">
        <f t="shared" si="0"/>
        <v>2.1677854238077998E-4</v>
      </c>
    </row>
    <row r="36" spans="1:43" s="21" customFormat="1" x14ac:dyDescent="0.2">
      <c r="A36" s="488"/>
      <c r="B36" s="465"/>
      <c r="C36" s="116" t="s">
        <v>76</v>
      </c>
      <c r="D36" s="115" t="s">
        <v>75</v>
      </c>
      <c r="E36" s="114">
        <v>1400</v>
      </c>
      <c r="F36" s="28">
        <v>1620579.4899839996</v>
      </c>
      <c r="G36" s="94">
        <f>E36/F36</f>
        <v>8.63888509420678E-4</v>
      </c>
      <c r="H36" s="214"/>
      <c r="I36" s="464"/>
      <c r="J36" s="201" t="s">
        <v>76</v>
      </c>
      <c r="K36" s="115" t="s">
        <v>75</v>
      </c>
      <c r="L36" s="114">
        <f>$G$36*M36</f>
        <v>721.19460739551062</v>
      </c>
      <c r="M36" s="28">
        <f t="shared" si="7"/>
        <v>834823.70645159099</v>
      </c>
      <c r="N36" s="320" t="s">
        <v>150</v>
      </c>
      <c r="O36" s="472"/>
      <c r="P36" s="465"/>
      <c r="Q36" s="116" t="s">
        <v>76</v>
      </c>
      <c r="R36" s="115" t="s">
        <v>75</v>
      </c>
      <c r="S36" s="114">
        <f>$G$36*T36</f>
        <v>3.1493214296747185</v>
      </c>
      <c r="T36" s="28">
        <f t="shared" si="8"/>
        <v>3645.51836878424</v>
      </c>
      <c r="U36" s="113"/>
      <c r="V36" s="488"/>
      <c r="W36" s="465"/>
      <c r="X36" s="116" t="s">
        <v>76</v>
      </c>
      <c r="Y36" s="115" t="s">
        <v>75</v>
      </c>
      <c r="Z36" s="114">
        <f>$G$36*AA36</f>
        <v>575.16710421734865</v>
      </c>
      <c r="AA36" s="28">
        <f t="shared" si="9"/>
        <v>665788.58029151778</v>
      </c>
      <c r="AB36" s="113"/>
      <c r="AC36" s="488"/>
      <c r="AD36" s="465"/>
      <c r="AE36" s="116" t="s">
        <v>76</v>
      </c>
      <c r="AF36" s="115" t="s">
        <v>75</v>
      </c>
      <c r="AG36" s="114">
        <f>$G$36*AH36</f>
        <v>2.644446456171718</v>
      </c>
      <c r="AH36" s="28">
        <f t="shared" si="10"/>
        <v>3061.0969208805413</v>
      </c>
      <c r="AI36" s="113"/>
      <c r="AJ36" s="488"/>
      <c r="AK36" s="465"/>
      <c r="AL36" s="116" t="s">
        <v>76</v>
      </c>
      <c r="AM36" s="115" t="s">
        <v>75</v>
      </c>
      <c r="AN36" s="114">
        <f>$G$36*AO36</f>
        <v>97.844518878353583</v>
      </c>
      <c r="AO36" s="28">
        <f t="shared" si="11"/>
        <v>113260.58607258004</v>
      </c>
      <c r="AP36" s="113"/>
      <c r="AQ36" s="4">
        <f t="shared" si="0"/>
        <v>1.6229407009404895E-6</v>
      </c>
    </row>
    <row r="37" spans="1:43" s="21" customFormat="1" ht="44.25" customHeight="1" x14ac:dyDescent="0.2">
      <c r="A37" s="488"/>
      <c r="B37" s="465"/>
      <c r="C37" s="116" t="s">
        <v>74</v>
      </c>
      <c r="D37" s="115" t="s">
        <v>69</v>
      </c>
      <c r="E37" s="114">
        <v>5111.9040000000005</v>
      </c>
      <c r="F37" s="28">
        <v>103802.10996879359</v>
      </c>
      <c r="G37" s="94">
        <f>E37/F37</f>
        <v>4.9246629009148377E-2</v>
      </c>
      <c r="H37" s="214"/>
      <c r="I37" s="464"/>
      <c r="J37" s="201" t="s">
        <v>74</v>
      </c>
      <c r="K37" s="115" t="s">
        <v>69</v>
      </c>
      <c r="L37" s="114">
        <f>$G$37*M37</f>
        <v>2633.3411416596718</v>
      </c>
      <c r="M37" s="319">
        <f t="shared" si="7"/>
        <v>53472.515675549796</v>
      </c>
      <c r="N37" s="358" t="s">
        <v>148</v>
      </c>
      <c r="O37" s="472"/>
      <c r="P37" s="465"/>
      <c r="Q37" s="116" t="s">
        <v>74</v>
      </c>
      <c r="R37" s="115" t="s">
        <v>69</v>
      </c>
      <c r="S37" s="114">
        <f>$G$37*T37</f>
        <v>11.49930629545708</v>
      </c>
      <c r="T37" s="28">
        <f t="shared" si="8"/>
        <v>233.50443526440955</v>
      </c>
      <c r="U37" s="113"/>
      <c r="V37" s="488"/>
      <c r="W37" s="465"/>
      <c r="X37" s="116" t="s">
        <v>74</v>
      </c>
      <c r="Y37" s="115" t="s">
        <v>69</v>
      </c>
      <c r="Z37" s="114">
        <f>$G$37*AA37</f>
        <v>2100.1421576550583</v>
      </c>
      <c r="AA37" s="28">
        <f t="shared" si="9"/>
        <v>42645.399287429849</v>
      </c>
      <c r="AB37" s="113"/>
      <c r="AC37" s="488"/>
      <c r="AD37" s="465"/>
      <c r="AE37" s="116" t="s">
        <v>74</v>
      </c>
      <c r="AF37" s="115" t="s">
        <v>69</v>
      </c>
      <c r="AG37" s="114">
        <f>$G$37*AH37</f>
        <v>9.6558260122071662</v>
      </c>
      <c r="AH37" s="28">
        <f t="shared" si="10"/>
        <v>196.07080132151657</v>
      </c>
      <c r="AI37" s="113"/>
      <c r="AJ37" s="488"/>
      <c r="AK37" s="465"/>
      <c r="AL37" s="116" t="s">
        <v>74</v>
      </c>
      <c r="AM37" s="115" t="s">
        <v>69</v>
      </c>
      <c r="AN37" s="114">
        <f>$G$37*AO37</f>
        <v>357.26556245166512</v>
      </c>
      <c r="AO37" s="28">
        <f t="shared" si="11"/>
        <v>7254.6196488961132</v>
      </c>
      <c r="AP37" s="113"/>
      <c r="AQ37" s="4">
        <f t="shared" si="0"/>
        <v>5.9259407407807885E-6</v>
      </c>
    </row>
    <row r="38" spans="1:43" s="21" customFormat="1" ht="49.5" customHeight="1" x14ac:dyDescent="0.2">
      <c r="A38" s="488"/>
      <c r="B38" s="465"/>
      <c r="C38" s="120" t="s">
        <v>73</v>
      </c>
      <c r="D38" s="115" t="s">
        <v>69</v>
      </c>
      <c r="E38" s="114">
        <v>240</v>
      </c>
      <c r="F38" s="28">
        <v>277813.62685439992</v>
      </c>
      <c r="G38" s="94">
        <f>E38/F38</f>
        <v>8.63888509420678E-4</v>
      </c>
      <c r="H38" s="214"/>
      <c r="I38" s="464"/>
      <c r="J38" s="202" t="s">
        <v>73</v>
      </c>
      <c r="K38" s="115" t="s">
        <v>69</v>
      </c>
      <c r="L38" s="114">
        <f>$G$38*M38</f>
        <v>123.6333612678018</v>
      </c>
      <c r="M38" s="319">
        <f t="shared" si="7"/>
        <v>143112.6353917013</v>
      </c>
      <c r="N38" s="358" t="s">
        <v>148</v>
      </c>
      <c r="O38" s="472"/>
      <c r="P38" s="465"/>
      <c r="Q38" s="120" t="s">
        <v>73</v>
      </c>
      <c r="R38" s="115" t="s">
        <v>69</v>
      </c>
      <c r="S38" s="114">
        <f>$G$38*T38</f>
        <v>0.53988367365852308</v>
      </c>
      <c r="T38" s="28">
        <f t="shared" si="8"/>
        <v>624.94600607729819</v>
      </c>
      <c r="U38" s="113"/>
      <c r="V38" s="488"/>
      <c r="W38" s="465"/>
      <c r="X38" s="120" t="s">
        <v>73</v>
      </c>
      <c r="Y38" s="115" t="s">
        <v>69</v>
      </c>
      <c r="Z38" s="114">
        <f>$G$38*AA38</f>
        <v>98.600075008688336</v>
      </c>
      <c r="AA38" s="28">
        <f t="shared" si="9"/>
        <v>114135.1851928316</v>
      </c>
      <c r="AB38" s="113"/>
      <c r="AC38" s="488"/>
      <c r="AD38" s="465"/>
      <c r="AE38" s="120" t="s">
        <v>73</v>
      </c>
      <c r="AF38" s="115" t="s">
        <v>69</v>
      </c>
      <c r="AG38" s="114">
        <f>$G$38*AH38</f>
        <v>0.4533336782008659</v>
      </c>
      <c r="AH38" s="28">
        <f t="shared" si="10"/>
        <v>524.75947215094993</v>
      </c>
      <c r="AI38" s="113"/>
      <c r="AJ38" s="488"/>
      <c r="AK38" s="465"/>
      <c r="AL38" s="120" t="s">
        <v>73</v>
      </c>
      <c r="AM38" s="115" t="s">
        <v>69</v>
      </c>
      <c r="AN38" s="114">
        <f>$G$38*AO38</f>
        <v>16.773346093432039</v>
      </c>
      <c r="AO38" s="28">
        <f t="shared" si="11"/>
        <v>19416.100469585148</v>
      </c>
      <c r="AP38" s="113"/>
      <c r="AQ38" s="4">
        <f t="shared" si="0"/>
        <v>2.7821843318065476E-7</v>
      </c>
    </row>
    <row r="39" spans="1:43" s="21" customFormat="1" ht="46.5" customHeight="1" x14ac:dyDescent="0.2">
      <c r="A39" s="488"/>
      <c r="B39" s="465"/>
      <c r="C39" s="116" t="s">
        <v>72</v>
      </c>
      <c r="D39" s="115" t="s">
        <v>69</v>
      </c>
      <c r="E39" s="117"/>
      <c r="F39" s="119"/>
      <c r="G39" s="118"/>
      <c r="H39" s="214"/>
      <c r="I39" s="464"/>
      <c r="J39" s="201" t="s">
        <v>72</v>
      </c>
      <c r="K39" s="115" t="s">
        <v>69</v>
      </c>
      <c r="L39" s="117"/>
      <c r="M39" s="319">
        <f t="shared" si="7"/>
        <v>0</v>
      </c>
      <c r="N39" s="358" t="s">
        <v>148</v>
      </c>
      <c r="O39" s="472"/>
      <c r="P39" s="465"/>
      <c r="Q39" s="116" t="s">
        <v>72</v>
      </c>
      <c r="R39" s="115" t="s">
        <v>69</v>
      </c>
      <c r="S39" s="117"/>
      <c r="T39" s="28">
        <f t="shared" si="8"/>
        <v>0</v>
      </c>
      <c r="U39" s="113"/>
      <c r="V39" s="488"/>
      <c r="W39" s="465"/>
      <c r="X39" s="116" t="s">
        <v>72</v>
      </c>
      <c r="Y39" s="115" t="s">
        <v>69</v>
      </c>
      <c r="Z39" s="117"/>
      <c r="AA39" s="28">
        <f t="shared" si="9"/>
        <v>0</v>
      </c>
      <c r="AB39" s="113"/>
      <c r="AC39" s="488"/>
      <c r="AD39" s="465"/>
      <c r="AE39" s="116" t="s">
        <v>72</v>
      </c>
      <c r="AF39" s="115" t="s">
        <v>69</v>
      </c>
      <c r="AG39" s="117"/>
      <c r="AH39" s="28">
        <f t="shared" si="10"/>
        <v>0</v>
      </c>
      <c r="AI39" s="113"/>
      <c r="AJ39" s="488"/>
      <c r="AK39" s="465"/>
      <c r="AL39" s="116" t="s">
        <v>72</v>
      </c>
      <c r="AM39" s="115" t="s">
        <v>69</v>
      </c>
      <c r="AN39" s="117"/>
      <c r="AO39" s="28">
        <f t="shared" si="11"/>
        <v>0</v>
      </c>
      <c r="AP39" s="113"/>
      <c r="AQ39" s="4">
        <f t="shared" si="0"/>
        <v>0</v>
      </c>
    </row>
    <row r="40" spans="1:43" s="21" customFormat="1" ht="42.75" x14ac:dyDescent="0.2">
      <c r="A40" s="488"/>
      <c r="B40" s="465"/>
      <c r="C40" s="116" t="s">
        <v>71</v>
      </c>
      <c r="D40" s="115" t="s">
        <v>69</v>
      </c>
      <c r="E40" s="114">
        <v>2633.3999999999996</v>
      </c>
      <c r="F40" s="28">
        <v>53473.710850559983</v>
      </c>
      <c r="G40" s="94">
        <f>E40/F40</f>
        <v>4.9246629009148377E-2</v>
      </c>
      <c r="H40" s="214"/>
      <c r="I40" s="464"/>
      <c r="J40" s="201" t="s">
        <v>71</v>
      </c>
      <c r="K40" s="115" t="s">
        <v>69</v>
      </c>
      <c r="L40" s="114">
        <f>$G$40*M40</f>
        <v>1356.5670565109551</v>
      </c>
      <c r="M40" s="319">
        <f t="shared" si="7"/>
        <v>27546.3942163219</v>
      </c>
      <c r="N40" s="358" t="s">
        <v>148</v>
      </c>
      <c r="O40" s="472"/>
      <c r="P40" s="465"/>
      <c r="Q40" s="116" t="s">
        <v>71</v>
      </c>
      <c r="R40" s="115" t="s">
        <v>69</v>
      </c>
      <c r="S40" s="114">
        <f>$G$40*T40</f>
        <v>5.9238736092181439</v>
      </c>
      <c r="T40" s="28">
        <f t="shared" si="8"/>
        <v>120.28993107564148</v>
      </c>
      <c r="U40" s="113"/>
      <c r="V40" s="488"/>
      <c r="W40" s="465"/>
      <c r="X40" s="116" t="s">
        <v>71</v>
      </c>
      <c r="Y40" s="115" t="s">
        <v>69</v>
      </c>
      <c r="Z40" s="114">
        <f>$G$40*AA40</f>
        <v>1081.8893230328326</v>
      </c>
      <c r="AA40" s="28">
        <f t="shared" si="9"/>
        <v>21968.799586908859</v>
      </c>
      <c r="AB40" s="113"/>
      <c r="AC40" s="488"/>
      <c r="AD40" s="465"/>
      <c r="AE40" s="116" t="s">
        <v>71</v>
      </c>
      <c r="AF40" s="115" t="s">
        <v>69</v>
      </c>
      <c r="AG40" s="114">
        <f>$G$40*AH40</f>
        <v>4.9742037840590001</v>
      </c>
      <c r="AH40" s="28">
        <f t="shared" si="10"/>
        <v>101.00597511222463</v>
      </c>
      <c r="AI40" s="113"/>
      <c r="AJ40" s="488"/>
      <c r="AK40" s="465"/>
      <c r="AL40" s="116" t="s">
        <v>71</v>
      </c>
      <c r="AM40" s="115" t="s">
        <v>69</v>
      </c>
      <c r="AN40" s="114">
        <f>$G$40*AO40</f>
        <v>184.04554001018303</v>
      </c>
      <c r="AO40" s="28">
        <f t="shared" si="11"/>
        <v>3737.2210791523116</v>
      </c>
      <c r="AP40" s="113"/>
      <c r="AQ40" s="4">
        <f t="shared" si="0"/>
        <v>3.052751679888388E-6</v>
      </c>
    </row>
    <row r="41" spans="1:43" s="21" customFormat="1" ht="43.5" thickBot="1" x14ac:dyDescent="0.25">
      <c r="A41" s="488"/>
      <c r="B41" s="465"/>
      <c r="C41" s="116" t="s">
        <v>70</v>
      </c>
      <c r="D41" s="115" t="s">
        <v>69</v>
      </c>
      <c r="E41" s="114">
        <v>7745.2919999999995</v>
      </c>
      <c r="F41" s="28">
        <v>42734.416251239993</v>
      </c>
      <c r="G41" s="94">
        <f>E41/F41</f>
        <v>0.18124248976433041</v>
      </c>
      <c r="H41" s="214"/>
      <c r="I41" s="464"/>
      <c r="J41" s="201" t="s">
        <v>70</v>
      </c>
      <c r="K41" s="115" t="s">
        <v>69</v>
      </c>
      <c r="L41" s="114">
        <f>$G$41*M41</f>
        <v>3989.9020165025631</v>
      </c>
      <c r="M41" s="28">
        <f t="shared" si="7"/>
        <v>22014.164678992394</v>
      </c>
      <c r="N41" s="358" t="s">
        <v>148</v>
      </c>
      <c r="O41" s="472"/>
      <c r="P41" s="465"/>
      <c r="Q41" s="116" t="s">
        <v>70</v>
      </c>
      <c r="R41" s="115" t="s">
        <v>69</v>
      </c>
      <c r="S41" s="114">
        <f>$G$41*T41</f>
        <v>17.423152910491542</v>
      </c>
      <c r="T41" s="28">
        <f t="shared" si="8"/>
        <v>96.131723489049747</v>
      </c>
      <c r="U41" s="113"/>
      <c r="V41" s="488"/>
      <c r="W41" s="465"/>
      <c r="X41" s="116" t="s">
        <v>70</v>
      </c>
      <c r="Y41" s="115" t="s">
        <v>69</v>
      </c>
      <c r="Z41" s="114">
        <f>$G$41*AA41</f>
        <v>3182.0265506841401</v>
      </c>
      <c r="AA41" s="28">
        <f t="shared" si="9"/>
        <v>17556.736032603221</v>
      </c>
      <c r="AB41" s="113"/>
      <c r="AC41" s="488"/>
      <c r="AD41" s="465"/>
      <c r="AE41" s="116" t="s">
        <v>70</v>
      </c>
      <c r="AF41" s="115" t="s">
        <v>69</v>
      </c>
      <c r="AG41" s="114">
        <f>$G$41*AH41</f>
        <v>14.630007129582257</v>
      </c>
      <c r="AH41" s="28">
        <f t="shared" si="10"/>
        <v>80.720625437256203</v>
      </c>
      <c r="AI41" s="113"/>
      <c r="AJ41" s="488"/>
      <c r="AK41" s="465"/>
      <c r="AL41" s="116" t="s">
        <v>70</v>
      </c>
      <c r="AM41" s="115" t="s">
        <v>69</v>
      </c>
      <c r="AN41" s="114">
        <f>$G$41*AO41</f>
        <v>541.3102637945434</v>
      </c>
      <c r="AO41" s="28">
        <f t="shared" si="11"/>
        <v>2986.6631411784792</v>
      </c>
      <c r="AP41" s="113"/>
      <c r="AQ41" s="4">
        <f t="shared" si="0"/>
        <v>8.9786791477308725E-6</v>
      </c>
    </row>
    <row r="42" spans="1:43" ht="15" hidden="1" customHeight="1" thickBot="1" x14ac:dyDescent="0.25">
      <c r="A42" s="488"/>
      <c r="B42" s="465"/>
      <c r="C42" s="111" t="s">
        <v>2</v>
      </c>
      <c r="D42" s="110"/>
      <c r="E42" s="109"/>
      <c r="F42" s="112">
        <f>SUM(F35:F41)</f>
        <v>3372021.0839089933</v>
      </c>
      <c r="G42" s="108">
        <f>SUM(G29:G41)</f>
        <v>0.45194603682670131</v>
      </c>
      <c r="H42" s="214"/>
      <c r="I42" s="464"/>
      <c r="J42" s="252" t="s">
        <v>2</v>
      </c>
      <c r="K42" s="245"/>
      <c r="L42" s="405"/>
      <c r="M42" s="235">
        <f>1744645/460*458</f>
        <v>1737059.5869565217</v>
      </c>
      <c r="N42" s="246">
        <f>SUM(N29:N41)</f>
        <v>0</v>
      </c>
      <c r="O42" s="472"/>
      <c r="P42" s="465"/>
      <c r="Q42" s="111" t="s">
        <v>2</v>
      </c>
      <c r="R42" s="110"/>
      <c r="S42" s="109"/>
      <c r="T42" s="68">
        <f>1744645/460*2</f>
        <v>7585.413043478261</v>
      </c>
      <c r="U42" s="108">
        <f>SUM(U29:U41)</f>
        <v>0</v>
      </c>
      <c r="V42" s="488"/>
      <c r="W42" s="465"/>
      <c r="X42" s="111" t="s">
        <v>2</v>
      </c>
      <c r="Y42" s="110"/>
      <c r="Z42" s="109"/>
      <c r="AA42" s="68">
        <f>1627376.08/SUM($J$2:$L$2)*J2</f>
        <v>1385339.715851272</v>
      </c>
      <c r="AB42" s="108">
        <f>SUM(AB29:AB41)</f>
        <v>0</v>
      </c>
      <c r="AC42" s="488"/>
      <c r="AD42" s="465"/>
      <c r="AE42" s="111" t="s">
        <v>2</v>
      </c>
      <c r="AF42" s="110"/>
      <c r="AG42" s="109"/>
      <c r="AH42" s="68">
        <f>1627376.08/SUM(J2:L2)*K2</f>
        <v>6369.3780039138946</v>
      </c>
      <c r="AI42" s="108">
        <f>SUM(AI29:AI41)</f>
        <v>0</v>
      </c>
      <c r="AJ42" s="488"/>
      <c r="AK42" s="465"/>
      <c r="AL42" s="111" t="s">
        <v>2</v>
      </c>
      <c r="AM42" s="110"/>
      <c r="AN42" s="109"/>
      <c r="AO42" s="68">
        <f>1627376.08/SUM(J2:L2)*L2</f>
        <v>235666.98614481412</v>
      </c>
      <c r="AP42" s="108">
        <f>SUM(AP29:AP41)</f>
        <v>0</v>
      </c>
      <c r="AQ42" s="4">
        <f t="shared" si="0"/>
        <v>0</v>
      </c>
    </row>
    <row r="43" spans="1:43" ht="15" thickBot="1" x14ac:dyDescent="0.25">
      <c r="A43" s="488"/>
      <c r="B43" s="464"/>
      <c r="C43" s="471" t="s">
        <v>68</v>
      </c>
      <c r="D43" s="471"/>
      <c r="E43" s="471"/>
      <c r="F43" s="471"/>
      <c r="G43" s="472"/>
      <c r="H43" s="214"/>
      <c r="I43" s="464"/>
      <c r="J43" s="470" t="s">
        <v>68</v>
      </c>
      <c r="K43" s="466"/>
      <c r="L43" s="466"/>
      <c r="M43" s="466"/>
      <c r="N43" s="467"/>
      <c r="O43" s="472"/>
      <c r="P43" s="464"/>
      <c r="Q43" s="471" t="s">
        <v>68</v>
      </c>
      <c r="R43" s="471"/>
      <c r="S43" s="471"/>
      <c r="T43" s="471"/>
      <c r="U43" s="472"/>
      <c r="V43" s="488"/>
      <c r="W43" s="464"/>
      <c r="X43" s="471" t="s">
        <v>68</v>
      </c>
      <c r="Y43" s="471"/>
      <c r="Z43" s="471"/>
      <c r="AA43" s="471"/>
      <c r="AB43" s="472"/>
      <c r="AC43" s="488"/>
      <c r="AD43" s="464"/>
      <c r="AE43" s="471" t="s">
        <v>68</v>
      </c>
      <c r="AF43" s="471"/>
      <c r="AG43" s="471"/>
      <c r="AH43" s="471"/>
      <c r="AI43" s="472"/>
      <c r="AJ43" s="488"/>
      <c r="AK43" s="464"/>
      <c r="AL43" s="471" t="s">
        <v>68</v>
      </c>
      <c r="AM43" s="471"/>
      <c r="AN43" s="471"/>
      <c r="AO43" s="471"/>
      <c r="AP43" s="472"/>
      <c r="AQ43" s="4">
        <f t="shared" si="0"/>
        <v>0</v>
      </c>
    </row>
    <row r="44" spans="1:43" ht="64.5" thickBot="1" x14ac:dyDescent="0.25">
      <c r="A44" s="488"/>
      <c r="B44" s="464"/>
      <c r="C44" s="105" t="s">
        <v>67</v>
      </c>
      <c r="D44" s="104" t="s">
        <v>57</v>
      </c>
      <c r="E44" s="103">
        <v>21</v>
      </c>
      <c r="F44" s="107">
        <v>43968</v>
      </c>
      <c r="G44" s="101">
        <f>E44/F44</f>
        <v>4.7762008733624452E-4</v>
      </c>
      <c r="H44" s="214"/>
      <c r="I44" s="464"/>
      <c r="J44" s="259" t="s">
        <v>67</v>
      </c>
      <c r="K44" s="260" t="s">
        <v>57</v>
      </c>
      <c r="L44" s="261">
        <f>$G$44*M44-0.1</f>
        <v>10.71791915931815</v>
      </c>
      <c r="M44" s="262">
        <f t="shared" ref="M44:M53" si="12">$M$54/$F$54*F44</f>
        <v>22649.631885566687</v>
      </c>
      <c r="N44" s="321" t="s">
        <v>150</v>
      </c>
      <c r="O44" s="472"/>
      <c r="P44" s="464"/>
      <c r="Q44" s="105" t="s">
        <v>67</v>
      </c>
      <c r="R44" s="104" t="s">
        <v>57</v>
      </c>
      <c r="S44" s="103">
        <f>$G$44*T44+0.1</f>
        <v>0.14723982165641114</v>
      </c>
      <c r="T44" s="20">
        <f t="shared" ref="T44:T53" si="13">$T$54/$F$54*F44</f>
        <v>98.906689456623099</v>
      </c>
      <c r="U44" s="59"/>
      <c r="V44" s="488"/>
      <c r="W44" s="464"/>
      <c r="X44" s="105" t="s">
        <v>67</v>
      </c>
      <c r="Y44" s="104" t="s">
        <v>57</v>
      </c>
      <c r="Z44" s="103">
        <f>$G$44*AA44</f>
        <v>8.6275065426146096</v>
      </c>
      <c r="AA44" s="20">
        <f t="shared" ref="AA44:AA53" si="14">$AA$54/$F$54*F44</f>
        <v>18063.533698365674</v>
      </c>
      <c r="AB44" s="59"/>
      <c r="AC44" s="488"/>
      <c r="AD44" s="464"/>
      <c r="AE44" s="105" t="s">
        <v>67</v>
      </c>
      <c r="AF44" s="104" t="s">
        <v>57</v>
      </c>
      <c r="AG44" s="103">
        <f>$G$44*AH44+0.1</f>
        <v>0.13966669674765339</v>
      </c>
      <c r="AH44" s="20">
        <f t="shared" ref="AH44:AH53" si="15">$AH$54/$F$54*F44</f>
        <v>83.050729647658272</v>
      </c>
      <c r="AI44" s="59"/>
      <c r="AJ44" s="488"/>
      <c r="AK44" s="464"/>
      <c r="AL44" s="105" t="s">
        <v>67</v>
      </c>
      <c r="AM44" s="104" t="s">
        <v>57</v>
      </c>
      <c r="AN44" s="103">
        <f>$G$44*AO44</f>
        <v>1.467667779663175</v>
      </c>
      <c r="AO44" s="20">
        <f t="shared" ref="AO44:AO53" si="16">$AO$54/$F$54*F44</f>
        <v>3072.8769969633563</v>
      </c>
      <c r="AP44" s="59"/>
      <c r="AQ44" s="4">
        <f t="shared" ref="AQ44:AQ75" si="17">E44-L44-S44-Z44-AG44-AN44</f>
        <v>-9.9999999999999201E-2</v>
      </c>
    </row>
    <row r="45" spans="1:43" ht="51.75" thickBot="1" x14ac:dyDescent="0.25">
      <c r="A45" s="488"/>
      <c r="B45" s="464"/>
      <c r="C45" s="76" t="s">
        <v>66</v>
      </c>
      <c r="D45" s="75" t="s">
        <v>65</v>
      </c>
      <c r="E45" s="93">
        <v>30260</v>
      </c>
      <c r="F45" s="77">
        <v>7000</v>
      </c>
      <c r="G45" s="101">
        <f>E45/F45</f>
        <v>4.322857142857143</v>
      </c>
      <c r="H45" s="214"/>
      <c r="I45" s="464"/>
      <c r="J45" s="76" t="s">
        <v>66</v>
      </c>
      <c r="K45" s="75" t="s">
        <v>65</v>
      </c>
      <c r="L45" s="72">
        <f>$G$45*M45</f>
        <v>15588.10636956987</v>
      </c>
      <c r="M45" s="20">
        <f t="shared" si="12"/>
        <v>3605.9730531060504</v>
      </c>
      <c r="N45" s="91" t="s">
        <v>150</v>
      </c>
      <c r="O45" s="472"/>
      <c r="P45" s="464"/>
      <c r="Q45" s="76" t="s">
        <v>66</v>
      </c>
      <c r="R45" s="75" t="s">
        <v>65</v>
      </c>
      <c r="S45" s="72">
        <f>$G$45*T45</f>
        <v>68.070333491571489</v>
      </c>
      <c r="T45" s="20">
        <f t="shared" si="13"/>
        <v>15.746607218803714</v>
      </c>
      <c r="U45" s="53"/>
      <c r="V45" s="488"/>
      <c r="W45" s="464"/>
      <c r="X45" s="76" t="s">
        <v>66</v>
      </c>
      <c r="Y45" s="75" t="s">
        <v>65</v>
      </c>
      <c r="Z45" s="72">
        <f>$G$45*AA45</f>
        <v>12431.826094262766</v>
      </c>
      <c r="AA45" s="20">
        <f t="shared" si="14"/>
        <v>2875.8355142048699</v>
      </c>
      <c r="AB45" s="53"/>
      <c r="AC45" s="488"/>
      <c r="AD45" s="464"/>
      <c r="AE45" s="76" t="s">
        <v>66</v>
      </c>
      <c r="AF45" s="75" t="s">
        <v>65</v>
      </c>
      <c r="AG45" s="72">
        <f>$G$45*AH45</f>
        <v>57.157821123047199</v>
      </c>
      <c r="AH45" s="20">
        <f t="shared" si="15"/>
        <v>13.222232249217791</v>
      </c>
      <c r="AI45" s="53"/>
      <c r="AJ45" s="488"/>
      <c r="AK45" s="464"/>
      <c r="AL45" s="76" t="s">
        <v>66</v>
      </c>
      <c r="AM45" s="75" t="s">
        <v>65</v>
      </c>
      <c r="AN45" s="72">
        <f>$G$45*AO45</f>
        <v>2114.8393815527465</v>
      </c>
      <c r="AO45" s="20">
        <f t="shared" si="16"/>
        <v>489.22259322105833</v>
      </c>
      <c r="AP45" s="53"/>
      <c r="AQ45" s="4">
        <f t="shared" si="17"/>
        <v>0</v>
      </c>
    </row>
    <row r="46" spans="1:43" s="95" customFormat="1" ht="63.75" x14ac:dyDescent="0.2">
      <c r="A46" s="488"/>
      <c r="B46" s="464"/>
      <c r="C46" s="99" t="s">
        <v>64</v>
      </c>
      <c r="D46" s="98" t="s">
        <v>63</v>
      </c>
      <c r="E46" s="93">
        <v>82355.5</v>
      </c>
      <c r="F46" s="102">
        <v>65000</v>
      </c>
      <c r="G46" s="101">
        <f>E46/F46</f>
        <v>1.2670076923076923</v>
      </c>
      <c r="H46" s="214"/>
      <c r="I46" s="464"/>
      <c r="J46" s="99" t="s">
        <v>64</v>
      </c>
      <c r="K46" s="98" t="s">
        <v>63</v>
      </c>
      <c r="L46" s="72">
        <f>$G$46*M46</f>
        <v>42424.530539296473</v>
      </c>
      <c r="M46" s="97">
        <f t="shared" si="12"/>
        <v>33484.035493127609</v>
      </c>
      <c r="N46" s="100" t="s">
        <v>150</v>
      </c>
      <c r="O46" s="472"/>
      <c r="P46" s="464"/>
      <c r="Q46" s="99" t="s">
        <v>64</v>
      </c>
      <c r="R46" s="98" t="s">
        <v>63</v>
      </c>
      <c r="S46" s="72">
        <f>$G$46*T46</f>
        <v>185.2599586868842</v>
      </c>
      <c r="T46" s="97">
        <f t="shared" si="13"/>
        <v>146.21849560317736</v>
      </c>
      <c r="U46" s="96"/>
      <c r="V46" s="488"/>
      <c r="W46" s="464"/>
      <c r="X46" s="99" t="s">
        <v>64</v>
      </c>
      <c r="Y46" s="98" t="s">
        <v>63</v>
      </c>
      <c r="Z46" s="72">
        <f>$G$46*AA46</f>
        <v>33834.41024144274</v>
      </c>
      <c r="AA46" s="97">
        <f t="shared" si="14"/>
        <v>26704.186917616651</v>
      </c>
      <c r="AB46" s="96"/>
      <c r="AC46" s="488"/>
      <c r="AD46" s="464"/>
      <c r="AE46" s="99" t="s">
        <v>64</v>
      </c>
      <c r="AF46" s="98" t="s">
        <v>63</v>
      </c>
      <c r="AG46" s="72">
        <f>$G$46*AH46</f>
        <v>155.56050685720797</v>
      </c>
      <c r="AH46" s="97">
        <f t="shared" si="15"/>
        <v>122.77787088559379</v>
      </c>
      <c r="AI46" s="96"/>
      <c r="AJ46" s="488"/>
      <c r="AK46" s="464"/>
      <c r="AL46" s="99" t="s">
        <v>64</v>
      </c>
      <c r="AM46" s="98" t="s">
        <v>63</v>
      </c>
      <c r="AN46" s="72">
        <f>$G$46*AO46</f>
        <v>5755.7387537166951</v>
      </c>
      <c r="AO46" s="97">
        <f t="shared" si="16"/>
        <v>4542.7812227669701</v>
      </c>
      <c r="AP46" s="96"/>
      <c r="AQ46" s="4">
        <f t="shared" si="17"/>
        <v>0</v>
      </c>
    </row>
    <row r="47" spans="1:43" ht="25.5" x14ac:dyDescent="0.2">
      <c r="A47" s="488"/>
      <c r="B47" s="464"/>
      <c r="C47" s="76" t="s">
        <v>62</v>
      </c>
      <c r="D47" s="75" t="s">
        <v>61</v>
      </c>
      <c r="E47" s="72">
        <f>146.256+129.888</f>
        <v>276.14400000000001</v>
      </c>
      <c r="F47" s="77">
        <f>109868.36+123713.56</f>
        <v>233581.91999999998</v>
      </c>
      <c r="G47" s="92">
        <f>E47/F47</f>
        <v>1.1822147878568685E-3</v>
      </c>
      <c r="H47" s="214"/>
      <c r="I47" s="464"/>
      <c r="J47" s="76" t="s">
        <v>62</v>
      </c>
      <c r="K47" s="75" t="s">
        <v>61</v>
      </c>
      <c r="L47" s="72">
        <f>$G$47*M47</f>
        <v>142.25254611098816</v>
      </c>
      <c r="M47" s="20">
        <f t="shared" si="12"/>
        <v>120327.15845896759</v>
      </c>
      <c r="N47" s="91" t="s">
        <v>150</v>
      </c>
      <c r="O47" s="472"/>
      <c r="P47" s="464"/>
      <c r="Q47" s="76" t="s">
        <v>62</v>
      </c>
      <c r="R47" s="75" t="s">
        <v>61</v>
      </c>
      <c r="S47" s="72">
        <f>$G$47*T47</f>
        <v>0.62119015768990482</v>
      </c>
      <c r="T47" s="20">
        <f t="shared" si="13"/>
        <v>525.44610680771882</v>
      </c>
      <c r="U47" s="53"/>
      <c r="V47" s="488"/>
      <c r="W47" s="464"/>
      <c r="X47" s="76" t="s">
        <v>62</v>
      </c>
      <c r="Y47" s="75" t="s">
        <v>61</v>
      </c>
      <c r="Z47" s="72">
        <f>$G$47*AA47</f>
        <v>113.44924603351281</v>
      </c>
      <c r="AA47" s="20">
        <f t="shared" si="14"/>
        <v>95963.311573165818</v>
      </c>
      <c r="AB47" s="53"/>
      <c r="AC47" s="488"/>
      <c r="AD47" s="464"/>
      <c r="AE47" s="76" t="s">
        <v>62</v>
      </c>
      <c r="AF47" s="75" t="s">
        <v>61</v>
      </c>
      <c r="AG47" s="72">
        <f>$G$47*AH47</f>
        <v>0.52160572888971402</v>
      </c>
      <c r="AH47" s="20">
        <f t="shared" si="15"/>
        <v>441.21062792260142</v>
      </c>
      <c r="AI47" s="53"/>
      <c r="AJ47" s="488"/>
      <c r="AK47" s="464"/>
      <c r="AL47" s="76" t="s">
        <v>62</v>
      </c>
      <c r="AM47" s="75" t="s">
        <v>61</v>
      </c>
      <c r="AN47" s="72">
        <f>$G$47*AO47</f>
        <v>19.299411968919422</v>
      </c>
      <c r="AO47" s="20">
        <f t="shared" si="16"/>
        <v>16324.793233136255</v>
      </c>
      <c r="AP47" s="53"/>
      <c r="AQ47" s="4">
        <f t="shared" si="17"/>
        <v>0</v>
      </c>
    </row>
    <row r="48" spans="1:43" x14ac:dyDescent="0.2">
      <c r="A48" s="488"/>
      <c r="B48" s="464"/>
      <c r="C48" s="76" t="s">
        <v>60</v>
      </c>
      <c r="D48" s="75" t="s">
        <v>59</v>
      </c>
      <c r="E48" s="72"/>
      <c r="F48" s="77">
        <f>13663.3+19504.1</f>
        <v>33167.399999999994</v>
      </c>
      <c r="G48" s="92"/>
      <c r="H48" s="214"/>
      <c r="I48" s="464"/>
      <c r="J48" s="76" t="s">
        <v>60</v>
      </c>
      <c r="K48" s="75" t="s">
        <v>59</v>
      </c>
      <c r="L48" s="72"/>
      <c r="M48" s="20">
        <f t="shared" si="12"/>
        <v>17085.821520227084</v>
      </c>
      <c r="N48" s="91" t="s">
        <v>150</v>
      </c>
      <c r="O48" s="472"/>
      <c r="P48" s="464"/>
      <c r="Q48" s="76" t="s">
        <v>60</v>
      </c>
      <c r="R48" s="75" t="s">
        <v>59</v>
      </c>
      <c r="S48" s="72"/>
      <c r="T48" s="20">
        <f t="shared" si="13"/>
        <v>74.61057432413574</v>
      </c>
      <c r="U48" s="53"/>
      <c r="V48" s="488"/>
      <c r="W48" s="464"/>
      <c r="X48" s="76" t="s">
        <v>60</v>
      </c>
      <c r="Y48" s="75" t="s">
        <v>59</v>
      </c>
      <c r="Z48" s="72"/>
      <c r="AA48" s="20">
        <f t="shared" si="14"/>
        <v>13626.283833405512</v>
      </c>
      <c r="AB48" s="53"/>
      <c r="AC48" s="488"/>
      <c r="AD48" s="464"/>
      <c r="AE48" s="76" t="s">
        <v>60</v>
      </c>
      <c r="AF48" s="75" t="s">
        <v>59</v>
      </c>
      <c r="AG48" s="72"/>
      <c r="AH48" s="20">
        <f t="shared" si="15"/>
        <v>62.649580843243726</v>
      </c>
      <c r="AI48" s="53"/>
      <c r="AJ48" s="488"/>
      <c r="AK48" s="464"/>
      <c r="AL48" s="76" t="s">
        <v>60</v>
      </c>
      <c r="AM48" s="75" t="s">
        <v>59</v>
      </c>
      <c r="AN48" s="72"/>
      <c r="AO48" s="20">
        <f t="shared" si="16"/>
        <v>2318.0344912000182</v>
      </c>
      <c r="AP48" s="53"/>
      <c r="AQ48" s="4">
        <f t="shared" si="17"/>
        <v>0</v>
      </c>
    </row>
    <row r="49" spans="1:43" ht="51" x14ac:dyDescent="0.2">
      <c r="A49" s="488"/>
      <c r="B49" s="464"/>
      <c r="C49" s="76" t="s">
        <v>58</v>
      </c>
      <c r="D49" s="75" t="s">
        <v>57</v>
      </c>
      <c r="E49" s="72">
        <v>22</v>
      </c>
      <c r="F49" s="77">
        <v>150144</v>
      </c>
      <c r="G49" s="92">
        <f>E49/F49</f>
        <v>1.4652600170502985E-4</v>
      </c>
      <c r="H49" s="214"/>
      <c r="I49" s="464"/>
      <c r="J49" s="76" t="s">
        <v>58</v>
      </c>
      <c r="K49" s="75" t="s">
        <v>57</v>
      </c>
      <c r="L49" s="72">
        <f>$G$49*M49-0.1</f>
        <v>11.23305816690473</v>
      </c>
      <c r="M49" s="20">
        <f t="shared" si="12"/>
        <v>77345.031155079254</v>
      </c>
      <c r="N49" s="91" t="s">
        <v>150</v>
      </c>
      <c r="O49" s="472"/>
      <c r="P49" s="464"/>
      <c r="Q49" s="76" t="s">
        <v>58</v>
      </c>
      <c r="R49" s="75" t="s">
        <v>57</v>
      </c>
      <c r="S49" s="72">
        <f>$G$49*T49+0.1</f>
        <v>0.14948933697338312</v>
      </c>
      <c r="T49" s="20">
        <f t="shared" si="13"/>
        <v>337.75122775143785</v>
      </c>
      <c r="U49" s="53"/>
      <c r="V49" s="488"/>
      <c r="W49" s="464"/>
      <c r="X49" s="76" t="s">
        <v>58</v>
      </c>
      <c r="Y49" s="75" t="s">
        <v>57</v>
      </c>
      <c r="Z49" s="72">
        <f>$G$49*AA49-0.1</f>
        <v>8.9383401875010211</v>
      </c>
      <c r="AA49" s="20">
        <f t="shared" si="14"/>
        <v>61684.206777825144</v>
      </c>
      <c r="AB49" s="53"/>
      <c r="AC49" s="488"/>
      <c r="AD49" s="464"/>
      <c r="AE49" s="76" t="s">
        <v>58</v>
      </c>
      <c r="AF49" s="75" t="s">
        <v>57</v>
      </c>
      <c r="AG49" s="72">
        <f>$G$49*AH49+0.1</f>
        <v>0.1415555870689702</v>
      </c>
      <c r="AH49" s="20">
        <f t="shared" si="15"/>
        <v>283.6055484037937</v>
      </c>
      <c r="AI49" s="53"/>
      <c r="AJ49" s="488"/>
      <c r="AK49" s="464"/>
      <c r="AL49" s="76" t="s">
        <v>58</v>
      </c>
      <c r="AM49" s="75" t="s">
        <v>57</v>
      </c>
      <c r="AN49" s="72">
        <f>$G$49*AO49</f>
        <v>1.5375567215518977</v>
      </c>
      <c r="AO49" s="20">
        <f t="shared" si="16"/>
        <v>10493.405290940369</v>
      </c>
      <c r="AP49" s="53"/>
      <c r="AQ49" s="4">
        <f t="shared" si="17"/>
        <v>-2.2204460492503131E-15</v>
      </c>
    </row>
    <row r="50" spans="1:43" ht="25.5" x14ac:dyDescent="0.2">
      <c r="A50" s="488"/>
      <c r="B50" s="464"/>
      <c r="C50" s="76" t="s">
        <v>56</v>
      </c>
      <c r="D50" s="75" t="s">
        <v>12</v>
      </c>
      <c r="E50" s="72">
        <v>1</v>
      </c>
      <c r="F50" s="77">
        <v>40000</v>
      </c>
      <c r="G50" s="92">
        <f>E50/F50</f>
        <v>2.5000000000000001E-5</v>
      </c>
      <c r="H50" s="214"/>
      <c r="I50" s="464"/>
      <c r="J50" s="76" t="s">
        <v>56</v>
      </c>
      <c r="K50" s="75" t="s">
        <v>12</v>
      </c>
      <c r="L50" s="72">
        <f>$G$50*M50-0.1</f>
        <v>0.41513900758657873</v>
      </c>
      <c r="M50" s="20">
        <f t="shared" si="12"/>
        <v>20605.560303463146</v>
      </c>
      <c r="N50" s="91" t="s">
        <v>150</v>
      </c>
      <c r="O50" s="472"/>
      <c r="P50" s="464"/>
      <c r="Q50" s="76" t="s">
        <v>56</v>
      </c>
      <c r="R50" s="75" t="s">
        <v>12</v>
      </c>
      <c r="S50" s="72">
        <f>$G$50*T50+0.1</f>
        <v>0.10224951531697196</v>
      </c>
      <c r="T50" s="20">
        <f t="shared" si="13"/>
        <v>89.980612678878373</v>
      </c>
      <c r="U50" s="53"/>
      <c r="V50" s="488"/>
      <c r="W50" s="464"/>
      <c r="X50" s="76" t="s">
        <v>56</v>
      </c>
      <c r="Y50" s="75" t="s">
        <v>12</v>
      </c>
      <c r="Z50" s="72">
        <f>$G$50*AA50-0.1</f>
        <v>0.31083364488640997</v>
      </c>
      <c r="AA50" s="20">
        <f t="shared" si="14"/>
        <v>16433.3457954564</v>
      </c>
      <c r="AB50" s="53"/>
      <c r="AC50" s="488"/>
      <c r="AD50" s="464"/>
      <c r="AE50" s="76" t="s">
        <v>56</v>
      </c>
      <c r="AF50" s="75" t="s">
        <v>12</v>
      </c>
      <c r="AG50" s="72">
        <f>$G$50*AH50+0.1</f>
        <v>0.10188889032131683</v>
      </c>
      <c r="AH50" s="20">
        <f t="shared" si="15"/>
        <v>75.555612852673093</v>
      </c>
      <c r="AI50" s="53"/>
      <c r="AJ50" s="488"/>
      <c r="AK50" s="464"/>
      <c r="AL50" s="76" t="s">
        <v>56</v>
      </c>
      <c r="AM50" s="75" t="s">
        <v>12</v>
      </c>
      <c r="AN50" s="72">
        <f>$G$50*AO50</f>
        <v>6.9888941888722619E-2</v>
      </c>
      <c r="AO50" s="20">
        <f t="shared" si="16"/>
        <v>2795.5576755489046</v>
      </c>
      <c r="AP50" s="53"/>
      <c r="AQ50" s="4">
        <f t="shared" si="17"/>
        <v>-1.1102230246251565E-16</v>
      </c>
    </row>
    <row r="51" spans="1:43" hidden="1" x14ac:dyDescent="0.2">
      <c r="A51" s="488"/>
      <c r="B51" s="464"/>
      <c r="C51" s="76"/>
      <c r="D51" s="75"/>
      <c r="E51" s="72"/>
      <c r="F51" s="77"/>
      <c r="G51" s="92"/>
      <c r="H51" s="214"/>
      <c r="I51" s="464"/>
      <c r="J51" s="76"/>
      <c r="K51" s="75"/>
      <c r="L51" s="94"/>
      <c r="M51" s="20">
        <f t="shared" si="12"/>
        <v>0</v>
      </c>
      <c r="N51" s="91"/>
      <c r="O51" s="472"/>
      <c r="P51" s="464"/>
      <c r="Q51" s="76"/>
      <c r="R51" s="75"/>
      <c r="S51" s="72"/>
      <c r="T51" s="20">
        <f t="shared" si="13"/>
        <v>0</v>
      </c>
      <c r="U51" s="53"/>
      <c r="V51" s="488"/>
      <c r="W51" s="464"/>
      <c r="X51" s="76"/>
      <c r="Y51" s="75"/>
      <c r="Z51" s="72"/>
      <c r="AA51" s="20">
        <f t="shared" si="14"/>
        <v>0</v>
      </c>
      <c r="AB51" s="53"/>
      <c r="AC51" s="488"/>
      <c r="AD51" s="464"/>
      <c r="AE51" s="76"/>
      <c r="AF51" s="75"/>
      <c r="AG51" s="72"/>
      <c r="AH51" s="20">
        <f t="shared" si="15"/>
        <v>0</v>
      </c>
      <c r="AI51" s="53"/>
      <c r="AJ51" s="488"/>
      <c r="AK51" s="464"/>
      <c r="AL51" s="76"/>
      <c r="AM51" s="75"/>
      <c r="AN51" s="72"/>
      <c r="AO51" s="20">
        <f t="shared" si="16"/>
        <v>0</v>
      </c>
      <c r="AP51" s="53"/>
      <c r="AQ51" s="4">
        <f t="shared" si="17"/>
        <v>0</v>
      </c>
    </row>
    <row r="52" spans="1:43" ht="102" x14ac:dyDescent="0.2">
      <c r="A52" s="488"/>
      <c r="B52" s="464"/>
      <c r="C52" s="76" t="s">
        <v>55</v>
      </c>
      <c r="D52" s="75" t="s">
        <v>8</v>
      </c>
      <c r="E52" s="93">
        <f>3393+3637.5</f>
        <v>7030.5</v>
      </c>
      <c r="F52" s="77">
        <f>60000+36000</f>
        <v>96000</v>
      </c>
      <c r="G52" s="92">
        <f>E52/F52</f>
        <v>7.3234375000000004E-2</v>
      </c>
      <c r="H52" s="214"/>
      <c r="I52" s="464"/>
      <c r="J52" s="76" t="s">
        <v>55</v>
      </c>
      <c r="K52" s="75" t="s">
        <v>8</v>
      </c>
      <c r="L52" s="72">
        <f>$G$52*M52</f>
        <v>3621.6847928374409</v>
      </c>
      <c r="M52" s="20">
        <f t="shared" si="12"/>
        <v>49453.344728311546</v>
      </c>
      <c r="N52" s="91" t="s">
        <v>150</v>
      </c>
      <c r="O52" s="472"/>
      <c r="P52" s="464"/>
      <c r="Q52" s="76" t="s">
        <v>55</v>
      </c>
      <c r="R52" s="75" t="s">
        <v>8</v>
      </c>
      <c r="S52" s="72">
        <f>$G$52*T52</f>
        <v>15.815217435971361</v>
      </c>
      <c r="T52" s="20">
        <f t="shared" si="13"/>
        <v>215.95347042930808</v>
      </c>
      <c r="U52" s="53"/>
      <c r="V52" s="488"/>
      <c r="W52" s="464"/>
      <c r="X52" s="76" t="s">
        <v>55</v>
      </c>
      <c r="Y52" s="75" t="s">
        <v>8</v>
      </c>
      <c r="Z52" s="90">
        <f>$G$52*AA52</f>
        <v>2888.3659403739057</v>
      </c>
      <c r="AA52" s="20">
        <f t="shared" si="14"/>
        <v>39440.029909095363</v>
      </c>
      <c r="AB52" s="53"/>
      <c r="AC52" s="488"/>
      <c r="AD52" s="464"/>
      <c r="AE52" s="76" t="s">
        <v>55</v>
      </c>
      <c r="AF52" s="75" t="s">
        <v>8</v>
      </c>
      <c r="AG52" s="72">
        <f>$G$52*AH52</f>
        <v>13.279843404017955</v>
      </c>
      <c r="AH52" s="20">
        <f t="shared" si="15"/>
        <v>181.33347084641542</v>
      </c>
      <c r="AI52" s="53"/>
      <c r="AJ52" s="488"/>
      <c r="AK52" s="464"/>
      <c r="AL52" s="76" t="s">
        <v>55</v>
      </c>
      <c r="AM52" s="75" t="s">
        <v>8</v>
      </c>
      <c r="AN52" s="72">
        <f>$G$52*AO52</f>
        <v>491.3542059486644</v>
      </c>
      <c r="AO52" s="20">
        <f t="shared" si="16"/>
        <v>6709.3384213173713</v>
      </c>
      <c r="AP52" s="53"/>
      <c r="AQ52" s="4">
        <f t="shared" si="17"/>
        <v>0</v>
      </c>
    </row>
    <row r="53" spans="1:43" ht="243" thickBot="1" x14ac:dyDescent="0.25">
      <c r="A53" s="488"/>
      <c r="B53" s="464"/>
      <c r="C53" s="86" t="s">
        <v>54</v>
      </c>
      <c r="D53" s="85" t="s">
        <v>40</v>
      </c>
      <c r="E53" s="84">
        <f>161+231+65+18+21+5</f>
        <v>501</v>
      </c>
      <c r="F53" s="89">
        <f>71472+31915.8+4422.32+6170.39+18774+45892+30000</f>
        <v>208646.51</v>
      </c>
      <c r="G53" s="88">
        <f>E53/F53</f>
        <v>2.4011904153105651E-3</v>
      </c>
      <c r="H53" s="214"/>
      <c r="I53" s="464"/>
      <c r="J53" s="204" t="s">
        <v>54</v>
      </c>
      <c r="K53" s="196" t="s">
        <v>40</v>
      </c>
      <c r="L53" s="197">
        <f>$G$53*M53</f>
        <v>258.08464280087588</v>
      </c>
      <c r="M53" s="198">
        <f t="shared" si="12"/>
        <v>107481.95609780315</v>
      </c>
      <c r="N53" s="199" t="s">
        <v>150</v>
      </c>
      <c r="O53" s="472"/>
      <c r="P53" s="464"/>
      <c r="Q53" s="86" t="s">
        <v>54</v>
      </c>
      <c r="R53" s="85" t="s">
        <v>40</v>
      </c>
      <c r="S53" s="84">
        <f>$G$53*T53</f>
        <v>1.1270071738029517</v>
      </c>
      <c r="T53" s="20">
        <f t="shared" si="13"/>
        <v>469.3535200777431</v>
      </c>
      <c r="U53" s="83"/>
      <c r="V53" s="488"/>
      <c r="W53" s="464"/>
      <c r="X53" s="86" t="s">
        <v>54</v>
      </c>
      <c r="Y53" s="85" t="s">
        <v>40</v>
      </c>
      <c r="Z53" s="84">
        <f>$G$53*AA53</f>
        <v>205.82765608809143</v>
      </c>
      <c r="AA53" s="20">
        <f t="shared" si="14"/>
        <v>85719.006196128801</v>
      </c>
      <c r="AB53" s="83"/>
      <c r="AC53" s="488"/>
      <c r="AD53" s="464"/>
      <c r="AE53" s="86" t="s">
        <v>54</v>
      </c>
      <c r="AF53" s="85" t="s">
        <v>40</v>
      </c>
      <c r="AG53" s="84">
        <f>$G$53*AH53</f>
        <v>0.94633405097973056</v>
      </c>
      <c r="AH53" s="20">
        <f t="shared" si="15"/>
        <v>394.11037331553467</v>
      </c>
      <c r="AI53" s="83"/>
      <c r="AJ53" s="488"/>
      <c r="AK53" s="464"/>
      <c r="AL53" s="86" t="s">
        <v>54</v>
      </c>
      <c r="AM53" s="85" t="s">
        <v>40</v>
      </c>
      <c r="AN53" s="84">
        <f>$G$53*AO53</f>
        <v>35.014359886250034</v>
      </c>
      <c r="AO53" s="20">
        <f t="shared" si="16"/>
        <v>14582.083812674784</v>
      </c>
      <c r="AP53" s="83"/>
      <c r="AQ53" s="4">
        <f t="shared" si="17"/>
        <v>0</v>
      </c>
    </row>
    <row r="54" spans="1:43" ht="15" hidden="1" thickBot="1" x14ac:dyDescent="0.25">
      <c r="A54" s="488"/>
      <c r="B54" s="465"/>
      <c r="C54" s="81" t="s">
        <v>2</v>
      </c>
      <c r="D54" s="80"/>
      <c r="E54" s="79"/>
      <c r="F54" s="82">
        <f>SUM(F44:F53)</f>
        <v>877507.83</v>
      </c>
      <c r="G54" s="78">
        <f>SUM(G44:G53)</f>
        <v>5.6673317614570449</v>
      </c>
      <c r="H54" s="214"/>
      <c r="I54" s="464"/>
      <c r="J54" s="203" t="s">
        <v>2</v>
      </c>
      <c r="K54" s="110"/>
      <c r="L54" s="109"/>
      <c r="M54" s="193">
        <f>454012.48/460*458</f>
        <v>452038.51269565214</v>
      </c>
      <c r="N54" s="108">
        <f>SUM(N44:N53)</f>
        <v>0</v>
      </c>
      <c r="O54" s="472"/>
      <c r="P54" s="465"/>
      <c r="Q54" s="81" t="s">
        <v>2</v>
      </c>
      <c r="R54" s="80"/>
      <c r="S54" s="79"/>
      <c r="T54" s="51">
        <f>454012.48/460*2</f>
        <v>1973.967304347826</v>
      </c>
      <c r="U54" s="78">
        <f>SUM(U44:U53)</f>
        <v>0</v>
      </c>
      <c r="V54" s="488"/>
      <c r="W54" s="465"/>
      <c r="X54" s="81" t="s">
        <v>2</v>
      </c>
      <c r="Y54" s="80"/>
      <c r="Z54" s="79"/>
      <c r="AA54" s="51">
        <f>423495.35/SUM($J$2:$L$2)*J2</f>
        <v>360509.7402152642</v>
      </c>
      <c r="AB54" s="78">
        <f>SUM(AB44:AB53)</f>
        <v>0</v>
      </c>
      <c r="AC54" s="488"/>
      <c r="AD54" s="465"/>
      <c r="AE54" s="81" t="s">
        <v>2</v>
      </c>
      <c r="AF54" s="80"/>
      <c r="AG54" s="79"/>
      <c r="AH54" s="68">
        <f>423495.35/SUM($J$2:$L$2)*K2</f>
        <v>1657.5160469667319</v>
      </c>
      <c r="AI54" s="78">
        <f>SUM(AI44:AI53)</f>
        <v>0</v>
      </c>
      <c r="AJ54" s="488"/>
      <c r="AK54" s="465"/>
      <c r="AL54" s="81" t="s">
        <v>2</v>
      </c>
      <c r="AM54" s="80"/>
      <c r="AN54" s="79"/>
      <c r="AO54" s="68">
        <f>423495.35/SUM($J$2:$L$2)*L2</f>
        <v>61328.093737769079</v>
      </c>
      <c r="AP54" s="78">
        <f>SUM(AP44:AP53)</f>
        <v>0</v>
      </c>
      <c r="AQ54" s="4">
        <f t="shared" si="17"/>
        <v>0</v>
      </c>
    </row>
    <row r="55" spans="1:43" ht="15" thickBot="1" x14ac:dyDescent="0.25">
      <c r="A55" s="488"/>
      <c r="B55" s="465"/>
      <c r="C55" s="479" t="s">
        <v>53</v>
      </c>
      <c r="D55" s="480"/>
      <c r="E55" s="480"/>
      <c r="F55" s="480"/>
      <c r="G55" s="481"/>
      <c r="H55" s="214"/>
      <c r="I55" s="464"/>
      <c r="J55" s="482" t="s">
        <v>53</v>
      </c>
      <c r="K55" s="483"/>
      <c r="L55" s="483"/>
      <c r="M55" s="484"/>
      <c r="N55" s="485"/>
      <c r="O55" s="472"/>
      <c r="P55" s="465"/>
      <c r="Q55" s="479" t="s">
        <v>53</v>
      </c>
      <c r="R55" s="480"/>
      <c r="S55" s="480"/>
      <c r="T55" s="486"/>
      <c r="U55" s="481"/>
      <c r="V55" s="488"/>
      <c r="W55" s="465"/>
      <c r="X55" s="479" t="s">
        <v>53</v>
      </c>
      <c r="Y55" s="480"/>
      <c r="Z55" s="480"/>
      <c r="AA55" s="486"/>
      <c r="AB55" s="481"/>
      <c r="AC55" s="488"/>
      <c r="AD55" s="465"/>
      <c r="AE55" s="479" t="s">
        <v>53</v>
      </c>
      <c r="AF55" s="480"/>
      <c r="AG55" s="480"/>
      <c r="AH55" s="489"/>
      <c r="AI55" s="481"/>
      <c r="AJ55" s="488"/>
      <c r="AK55" s="465"/>
      <c r="AL55" s="479" t="s">
        <v>53</v>
      </c>
      <c r="AM55" s="480"/>
      <c r="AN55" s="480"/>
      <c r="AO55" s="489"/>
      <c r="AP55" s="481"/>
      <c r="AQ55" s="4">
        <f t="shared" si="17"/>
        <v>0</v>
      </c>
    </row>
    <row r="56" spans="1:43" ht="76.5" x14ac:dyDescent="0.2">
      <c r="A56" s="488"/>
      <c r="B56" s="464"/>
      <c r="C56" s="76" t="s">
        <v>52</v>
      </c>
      <c r="D56" s="75" t="s">
        <v>8</v>
      </c>
      <c r="E56" s="30">
        <f>3393+3637.5</f>
        <v>7030.5</v>
      </c>
      <c r="F56" s="77">
        <f>93870+17000+51000+10000</f>
        <v>171870</v>
      </c>
      <c r="G56" s="53">
        <f>E56/F56</f>
        <v>4.0905917263047653E-2</v>
      </c>
      <c r="H56" s="214"/>
      <c r="I56" s="464"/>
      <c r="J56" s="76" t="s">
        <v>52</v>
      </c>
      <c r="K56" s="75" t="s">
        <v>8</v>
      </c>
      <c r="L56" s="72">
        <f>$G$56*M56</f>
        <v>3316.1369721936153</v>
      </c>
      <c r="M56" s="20">
        <f>$M$59/$F$59*F56</f>
        <v>81067.41503604532</v>
      </c>
      <c r="N56" s="53" t="s">
        <v>150</v>
      </c>
      <c r="O56" s="472"/>
      <c r="P56" s="464"/>
      <c r="Q56" s="76" t="s">
        <v>52</v>
      </c>
      <c r="R56" s="75" t="s">
        <v>8</v>
      </c>
      <c r="S56" s="58">
        <f>$G$56*T56</f>
        <v>14.480947476828014</v>
      </c>
      <c r="T56" s="20">
        <f>$T$59/$F$59*F56</f>
        <v>354.00617919670447</v>
      </c>
      <c r="U56" s="53"/>
      <c r="V56" s="488"/>
      <c r="W56" s="464"/>
      <c r="X56" s="76" t="s">
        <v>52</v>
      </c>
      <c r="Y56" s="75" t="s">
        <v>8</v>
      </c>
      <c r="Z56" s="72">
        <f>$G$56*AA56</f>
        <v>3149.6060762100929</v>
      </c>
      <c r="AA56" s="20">
        <f>$AA$59/$F$59*F56</f>
        <v>76996.34397528322</v>
      </c>
      <c r="AB56" s="53"/>
      <c r="AC56" s="488"/>
      <c r="AD56" s="464"/>
      <c r="AE56" s="76" t="s">
        <v>52</v>
      </c>
      <c r="AF56" s="75" t="s">
        <v>8</v>
      </c>
      <c r="AG56" s="72">
        <f>$G$56*AH56</f>
        <v>14.480947476828014</v>
      </c>
      <c r="AH56" s="20">
        <f>$AH$59/$F$59*F56</f>
        <v>354.00617919670447</v>
      </c>
      <c r="AI56" s="53"/>
      <c r="AJ56" s="488"/>
      <c r="AK56" s="464"/>
      <c r="AL56" s="76" t="s">
        <v>52</v>
      </c>
      <c r="AM56" s="75" t="s">
        <v>8</v>
      </c>
      <c r="AN56" s="72">
        <f>$G$56*AO56</f>
        <v>535.79505664263661</v>
      </c>
      <c r="AO56" s="20">
        <f>$AO$59/$F$59*F56</f>
        <v>13098.228630278067</v>
      </c>
      <c r="AP56" s="53"/>
      <c r="AQ56" s="4">
        <f t="shared" si="17"/>
        <v>0</v>
      </c>
    </row>
    <row r="57" spans="1:43" x14ac:dyDescent="0.2">
      <c r="A57" s="488"/>
      <c r="B57" s="464"/>
      <c r="C57" s="76" t="s">
        <v>51</v>
      </c>
      <c r="D57" s="75" t="s">
        <v>12</v>
      </c>
      <c r="E57" s="30">
        <v>1</v>
      </c>
      <c r="F57" s="77">
        <v>20000</v>
      </c>
      <c r="G57" s="53">
        <f>E57/F57</f>
        <v>5.0000000000000002E-5</v>
      </c>
      <c r="H57" s="214"/>
      <c r="I57" s="464"/>
      <c r="J57" s="76" t="s">
        <v>51</v>
      </c>
      <c r="K57" s="75" t="s">
        <v>12</v>
      </c>
      <c r="L57" s="72">
        <f>$G$57*M57-0.1</f>
        <v>0.37167868177136976</v>
      </c>
      <c r="M57" s="20">
        <f>$M$59/$F$59*F57</f>
        <v>9433.573635427394</v>
      </c>
      <c r="N57" s="53" t="s">
        <v>150</v>
      </c>
      <c r="O57" s="472"/>
      <c r="P57" s="464"/>
      <c r="Q57" s="76" t="s">
        <v>51</v>
      </c>
      <c r="R57" s="75" t="s">
        <v>12</v>
      </c>
      <c r="S57" s="58">
        <f>$G$57*T57+0.1</f>
        <v>0.10205973223480948</v>
      </c>
      <c r="T57" s="20">
        <f>$T$59/$F$59*F57</f>
        <v>41.194644696189499</v>
      </c>
      <c r="U57" s="53"/>
      <c r="V57" s="488"/>
      <c r="W57" s="464"/>
      <c r="X57" s="76" t="s">
        <v>51</v>
      </c>
      <c r="Y57" s="75" t="s">
        <v>12</v>
      </c>
      <c r="Z57" s="72">
        <f>$G$57*AA57-0.1</f>
        <v>0.34799176107106078</v>
      </c>
      <c r="AA57" s="20">
        <f>$AA$59/$F$59*F57</f>
        <v>8959.8352214212155</v>
      </c>
      <c r="AB57" s="53"/>
      <c r="AC57" s="488"/>
      <c r="AD57" s="464"/>
      <c r="AE57" s="76" t="s">
        <v>51</v>
      </c>
      <c r="AF57" s="75" t="s">
        <v>12</v>
      </c>
      <c r="AG57" s="72">
        <f>$G$57*AH57+0.1</f>
        <v>0.10205973223480948</v>
      </c>
      <c r="AH57" s="20">
        <f>$AH$59/$F$59*F57</f>
        <v>41.194644696189499</v>
      </c>
      <c r="AI57" s="53"/>
      <c r="AJ57" s="488"/>
      <c r="AK57" s="464"/>
      <c r="AL57" s="76" t="s">
        <v>51</v>
      </c>
      <c r="AM57" s="75" t="s">
        <v>12</v>
      </c>
      <c r="AN57" s="72">
        <f>$G$57*AO57</f>
        <v>7.6210092687950579E-2</v>
      </c>
      <c r="AO57" s="20">
        <f>$AO$59/$F$59*F57</f>
        <v>1524.2018537590116</v>
      </c>
      <c r="AP57" s="53"/>
      <c r="AQ57" s="4">
        <f t="shared" si="17"/>
        <v>0</v>
      </c>
    </row>
    <row r="58" spans="1:43" ht="26.25" thickBot="1" x14ac:dyDescent="0.25">
      <c r="A58" s="488"/>
      <c r="B58" s="464"/>
      <c r="C58" s="73" t="s">
        <v>50</v>
      </c>
      <c r="D58" s="56" t="s">
        <v>12</v>
      </c>
      <c r="E58" s="74">
        <v>1</v>
      </c>
      <c r="F58" s="32">
        <v>60000</v>
      </c>
      <c r="G58" s="53">
        <f>E58/F58</f>
        <v>1.6666666666666667E-5</v>
      </c>
      <c r="H58" s="214"/>
      <c r="I58" s="464"/>
      <c r="J58" s="73" t="s">
        <v>50</v>
      </c>
      <c r="K58" s="56" t="s">
        <v>12</v>
      </c>
      <c r="L58" s="72">
        <f>$G$58*M58-0.1</f>
        <v>0.37167868177136976</v>
      </c>
      <c r="M58" s="20">
        <f>$M$59/$F$59*F58</f>
        <v>28300.720906282186</v>
      </c>
      <c r="N58" s="71" t="s">
        <v>150</v>
      </c>
      <c r="O58" s="472"/>
      <c r="P58" s="464"/>
      <c r="Q58" s="73" t="s">
        <v>50</v>
      </c>
      <c r="R58" s="56" t="s">
        <v>12</v>
      </c>
      <c r="S58" s="58">
        <f>$G$58*T58+0.1</f>
        <v>0.10205973223480948</v>
      </c>
      <c r="T58" s="20">
        <f>$T$59/$F$59*F58</f>
        <v>123.58393408856851</v>
      </c>
      <c r="U58" s="71"/>
      <c r="V58" s="488"/>
      <c r="W58" s="464"/>
      <c r="X58" s="73" t="s">
        <v>50</v>
      </c>
      <c r="Y58" s="56" t="s">
        <v>12</v>
      </c>
      <c r="Z58" s="72">
        <f>$G$58*AA58-0.1</f>
        <v>0.34799176107106078</v>
      </c>
      <c r="AA58" s="20">
        <f>$AA$59/$F$59*F58</f>
        <v>26879.505664263648</v>
      </c>
      <c r="AB58" s="71"/>
      <c r="AC58" s="488"/>
      <c r="AD58" s="464"/>
      <c r="AE58" s="73" t="s">
        <v>50</v>
      </c>
      <c r="AF58" s="56" t="s">
        <v>12</v>
      </c>
      <c r="AG58" s="72">
        <f>$G$58*AH58+0.1</f>
        <v>0.10205973223480948</v>
      </c>
      <c r="AH58" s="20">
        <f>$AH$59/$F$59*F58</f>
        <v>123.58393408856851</v>
      </c>
      <c r="AI58" s="71"/>
      <c r="AJ58" s="488"/>
      <c r="AK58" s="464"/>
      <c r="AL58" s="73" t="s">
        <v>50</v>
      </c>
      <c r="AM58" s="56" t="s">
        <v>12</v>
      </c>
      <c r="AN58" s="72">
        <f>$G$58*AO58</f>
        <v>7.6210092687950592E-2</v>
      </c>
      <c r="AO58" s="20">
        <f>$AO$59/$F$59*F58</f>
        <v>4572.6055612770351</v>
      </c>
      <c r="AP58" s="71"/>
      <c r="AQ58" s="4">
        <f t="shared" si="17"/>
        <v>0</v>
      </c>
    </row>
    <row r="59" spans="1:43" ht="15" hidden="1" customHeight="1" thickBot="1" x14ac:dyDescent="0.25">
      <c r="A59" s="488"/>
      <c r="B59" s="464"/>
      <c r="C59" s="70" t="s">
        <v>2</v>
      </c>
      <c r="D59" s="69"/>
      <c r="E59" s="69"/>
      <c r="F59" s="52">
        <f>SUM(F56:F58)</f>
        <v>251870</v>
      </c>
      <c r="G59" s="67"/>
      <c r="H59" s="214"/>
      <c r="I59" s="464"/>
      <c r="J59" s="233" t="s">
        <v>2</v>
      </c>
      <c r="K59" s="234"/>
      <c r="L59" s="234"/>
      <c r="M59" s="235">
        <f>$F$59/$G$2*H2</f>
        <v>118801.7095777549</v>
      </c>
      <c r="N59" s="236"/>
      <c r="O59" s="472"/>
      <c r="P59" s="464"/>
      <c r="Q59" s="70" t="s">
        <v>2</v>
      </c>
      <c r="R59" s="69"/>
      <c r="S59" s="69"/>
      <c r="T59" s="68">
        <f>$F$59/$G$2*I2</f>
        <v>518.78475798146246</v>
      </c>
      <c r="U59" s="67"/>
      <c r="V59" s="488"/>
      <c r="W59" s="464"/>
      <c r="X59" s="70" t="s">
        <v>2</v>
      </c>
      <c r="Y59" s="69"/>
      <c r="Z59" s="69"/>
      <c r="AA59" s="68">
        <f>$F$59/$G$2*J2</f>
        <v>112835.68486096809</v>
      </c>
      <c r="AB59" s="67"/>
      <c r="AC59" s="488"/>
      <c r="AD59" s="464"/>
      <c r="AE59" s="70" t="s">
        <v>2</v>
      </c>
      <c r="AF59" s="69"/>
      <c r="AG59" s="69"/>
      <c r="AH59" s="68">
        <f>$F$59/$G$2*K2</f>
        <v>518.78475798146246</v>
      </c>
      <c r="AI59" s="67"/>
      <c r="AJ59" s="488"/>
      <c r="AK59" s="464"/>
      <c r="AL59" s="70" t="s">
        <v>2</v>
      </c>
      <c r="AM59" s="69"/>
      <c r="AN59" s="69"/>
      <c r="AO59" s="68">
        <f>$F$59/$G$2*L2</f>
        <v>19195.036045314111</v>
      </c>
      <c r="AP59" s="67"/>
      <c r="AQ59" s="4">
        <f t="shared" si="17"/>
        <v>0</v>
      </c>
    </row>
    <row r="60" spans="1:43" ht="15" thickBot="1" x14ac:dyDescent="0.25">
      <c r="A60" s="488"/>
      <c r="B60" s="464"/>
      <c r="C60" s="474" t="s">
        <v>49</v>
      </c>
      <c r="D60" s="474"/>
      <c r="E60" s="474"/>
      <c r="F60" s="474"/>
      <c r="G60" s="475"/>
      <c r="H60" s="214"/>
      <c r="I60" s="464"/>
      <c r="J60" s="476" t="s">
        <v>49</v>
      </c>
      <c r="K60" s="477"/>
      <c r="L60" s="477"/>
      <c r="M60" s="477"/>
      <c r="N60" s="478"/>
      <c r="O60" s="472"/>
      <c r="P60" s="464"/>
      <c r="Q60" s="474" t="s">
        <v>49</v>
      </c>
      <c r="R60" s="474"/>
      <c r="S60" s="474"/>
      <c r="T60" s="474"/>
      <c r="U60" s="475"/>
      <c r="V60" s="488"/>
      <c r="W60" s="464"/>
      <c r="X60" s="474" t="s">
        <v>49</v>
      </c>
      <c r="Y60" s="474"/>
      <c r="Z60" s="474"/>
      <c r="AA60" s="474"/>
      <c r="AB60" s="475"/>
      <c r="AC60" s="488"/>
      <c r="AD60" s="464"/>
      <c r="AE60" s="474" t="s">
        <v>49</v>
      </c>
      <c r="AF60" s="474"/>
      <c r="AG60" s="474"/>
      <c r="AH60" s="474"/>
      <c r="AI60" s="475"/>
      <c r="AJ60" s="488"/>
      <c r="AK60" s="464"/>
      <c r="AL60" s="474" t="s">
        <v>49</v>
      </c>
      <c r="AM60" s="474"/>
      <c r="AN60" s="474"/>
      <c r="AO60" s="474"/>
      <c r="AP60" s="475"/>
      <c r="AQ60" s="4">
        <f t="shared" si="17"/>
        <v>0</v>
      </c>
    </row>
    <row r="61" spans="1:43" ht="26.25" thickBot="1" x14ac:dyDescent="0.25">
      <c r="A61" s="488"/>
      <c r="B61" s="465"/>
      <c r="C61" s="64" t="s">
        <v>48</v>
      </c>
      <c r="D61" s="63" t="s">
        <v>44</v>
      </c>
      <c r="E61" s="66">
        <v>10</v>
      </c>
      <c r="F61" s="65">
        <v>75600</v>
      </c>
      <c r="G61" s="59">
        <f t="shared" ref="G61:G66" si="18">E61/F61</f>
        <v>1.3227513227513228E-4</v>
      </c>
      <c r="H61" s="214"/>
      <c r="I61" s="464"/>
      <c r="J61" s="237" t="s">
        <v>48</v>
      </c>
      <c r="K61" s="238" t="s">
        <v>44</v>
      </c>
      <c r="L61" s="232">
        <f>$G$61*M61-0.1</f>
        <v>4.6167868177136979</v>
      </c>
      <c r="M61" s="239">
        <f t="shared" ref="M61:M66" si="19">$M$67/$F$67*F61</f>
        <v>35658.90834191555</v>
      </c>
      <c r="N61" s="240" t="s">
        <v>150</v>
      </c>
      <c r="O61" s="472"/>
      <c r="P61" s="465"/>
      <c r="Q61" s="64" t="s">
        <v>48</v>
      </c>
      <c r="R61" s="63" t="s">
        <v>44</v>
      </c>
      <c r="S61" s="58">
        <f>$G$61*T61+0.1</f>
        <v>0.12059732234809475</v>
      </c>
      <c r="T61" s="54">
        <f t="shared" ref="T61:T66" si="20">$T$67/$F$67*F61</f>
        <v>155.71575695159629</v>
      </c>
      <c r="U61" s="59"/>
      <c r="V61" s="488"/>
      <c r="W61" s="465"/>
      <c r="X61" s="64" t="s">
        <v>48</v>
      </c>
      <c r="Y61" s="63" t="s">
        <v>44</v>
      </c>
      <c r="Z61" s="55">
        <f>$G$61*AA61-0.1</f>
        <v>4.3799176107106081</v>
      </c>
      <c r="AA61" s="54">
        <f t="shared" ref="AA61:AA66" si="21">$AA$67/$F$67*F61</f>
        <v>33868.17713697219</v>
      </c>
      <c r="AB61" s="59"/>
      <c r="AC61" s="488"/>
      <c r="AD61" s="465"/>
      <c r="AE61" s="64" t="s">
        <v>48</v>
      </c>
      <c r="AF61" s="63" t="s">
        <v>44</v>
      </c>
      <c r="AG61" s="55">
        <f>$G$61*AH61+0.1</f>
        <v>0.12059732234809475</v>
      </c>
      <c r="AH61" s="54">
        <f t="shared" ref="AH61:AH66" si="22">$AH$67/$F$67*F61</f>
        <v>155.71575695159629</v>
      </c>
      <c r="AI61" s="59"/>
      <c r="AJ61" s="488"/>
      <c r="AK61" s="465"/>
      <c r="AL61" s="64" t="s">
        <v>48</v>
      </c>
      <c r="AM61" s="63" t="s">
        <v>44</v>
      </c>
      <c r="AN61" s="55">
        <f>$G$61*AO61</f>
        <v>0.7621009268795057</v>
      </c>
      <c r="AO61" s="54">
        <f t="shared" ref="AO61:AO66" si="23">$AO$67/$F$67*F61</f>
        <v>5761.4830072090626</v>
      </c>
      <c r="AP61" s="59"/>
      <c r="AQ61" s="4">
        <f t="shared" si="17"/>
        <v>-1.4432899320127035E-15</v>
      </c>
    </row>
    <row r="62" spans="1:43" ht="51.75" thickBot="1" x14ac:dyDescent="0.25">
      <c r="A62" s="488"/>
      <c r="B62" s="465"/>
      <c r="C62" s="57" t="s">
        <v>47</v>
      </c>
      <c r="D62" s="56" t="s">
        <v>44</v>
      </c>
      <c r="E62" s="61">
        <v>6</v>
      </c>
      <c r="F62" s="60">
        <v>12744</v>
      </c>
      <c r="G62" s="59">
        <f t="shared" si="18"/>
        <v>4.7080979284369113E-4</v>
      </c>
      <c r="H62" s="214"/>
      <c r="I62" s="464"/>
      <c r="J62" s="73" t="s">
        <v>47</v>
      </c>
      <c r="K62" s="56" t="s">
        <v>44</v>
      </c>
      <c r="L62" s="58">
        <f>$G$62*M62-0.1</f>
        <v>2.7300720906282181</v>
      </c>
      <c r="M62" s="54">
        <f t="shared" si="19"/>
        <v>6011.0731204943359</v>
      </c>
      <c r="N62" s="53" t="s">
        <v>150</v>
      </c>
      <c r="O62" s="472"/>
      <c r="P62" s="465"/>
      <c r="Q62" s="57" t="s">
        <v>47</v>
      </c>
      <c r="R62" s="56" t="s">
        <v>44</v>
      </c>
      <c r="S62" s="58">
        <f>$G$62*T62+0.1</f>
        <v>0.11235839340885685</v>
      </c>
      <c r="T62" s="54">
        <f t="shared" si="20"/>
        <v>26.249227600411945</v>
      </c>
      <c r="U62" s="53"/>
      <c r="V62" s="488"/>
      <c r="W62" s="465"/>
      <c r="X62" s="57" t="s">
        <v>47</v>
      </c>
      <c r="Y62" s="56" t="s">
        <v>44</v>
      </c>
      <c r="Z62" s="55">
        <f>$G$62*AA62-0.1</f>
        <v>2.5879505664263642</v>
      </c>
      <c r="AA62" s="54">
        <f t="shared" si="21"/>
        <v>5709.2070030895984</v>
      </c>
      <c r="AB62" s="53"/>
      <c r="AC62" s="488"/>
      <c r="AD62" s="465"/>
      <c r="AE62" s="57" t="s">
        <v>47</v>
      </c>
      <c r="AF62" s="56" t="s">
        <v>44</v>
      </c>
      <c r="AG62" s="55">
        <f>$G$62*AH62+0.1</f>
        <v>0.11235839340885685</v>
      </c>
      <c r="AH62" s="54">
        <f t="shared" si="22"/>
        <v>26.249227600411945</v>
      </c>
      <c r="AI62" s="53"/>
      <c r="AJ62" s="488"/>
      <c r="AK62" s="465"/>
      <c r="AL62" s="57" t="s">
        <v>47</v>
      </c>
      <c r="AM62" s="56" t="s">
        <v>44</v>
      </c>
      <c r="AN62" s="55">
        <f>$G$62*AO62</f>
        <v>0.45726055612770339</v>
      </c>
      <c r="AO62" s="54">
        <f t="shared" si="23"/>
        <v>971.221421215242</v>
      </c>
      <c r="AP62" s="53"/>
      <c r="AQ62" s="4">
        <f t="shared" si="17"/>
        <v>4.4408920985006262E-16</v>
      </c>
    </row>
    <row r="63" spans="1:43" ht="26.25" thickBot="1" x14ac:dyDescent="0.25">
      <c r="A63" s="488"/>
      <c r="B63" s="465"/>
      <c r="C63" s="57" t="s">
        <v>46</v>
      </c>
      <c r="D63" s="56" t="s">
        <v>44</v>
      </c>
      <c r="E63" s="61">
        <v>10</v>
      </c>
      <c r="F63" s="60">
        <v>11640</v>
      </c>
      <c r="G63" s="59">
        <f t="shared" si="18"/>
        <v>8.5910652920962198E-4</v>
      </c>
      <c r="H63" s="214"/>
      <c r="I63" s="464"/>
      <c r="J63" s="73" t="s">
        <v>46</v>
      </c>
      <c r="K63" s="56" t="s">
        <v>44</v>
      </c>
      <c r="L63" s="58">
        <f>$G$63*M63-0.1</f>
        <v>4.6167868177136979</v>
      </c>
      <c r="M63" s="54">
        <f t="shared" si="19"/>
        <v>5490.3398558187437</v>
      </c>
      <c r="N63" s="53" t="s">
        <v>150</v>
      </c>
      <c r="O63" s="472"/>
      <c r="P63" s="465"/>
      <c r="Q63" s="57" t="s">
        <v>46</v>
      </c>
      <c r="R63" s="56" t="s">
        <v>44</v>
      </c>
      <c r="S63" s="58">
        <f>$G$63*T63+0.1</f>
        <v>0.12059732234809475</v>
      </c>
      <c r="T63" s="54">
        <f t="shared" si="20"/>
        <v>23.975283213182287</v>
      </c>
      <c r="U63" s="53"/>
      <c r="V63" s="488"/>
      <c r="W63" s="465"/>
      <c r="X63" s="57" t="s">
        <v>46</v>
      </c>
      <c r="Y63" s="56" t="s">
        <v>44</v>
      </c>
      <c r="Z63" s="55">
        <f>$G$63*AA63-0.1</f>
        <v>4.3799176107106073</v>
      </c>
      <c r="AA63" s="54">
        <f t="shared" si="21"/>
        <v>5214.624098867147</v>
      </c>
      <c r="AB63" s="53"/>
      <c r="AC63" s="488"/>
      <c r="AD63" s="465"/>
      <c r="AE63" s="57" t="s">
        <v>46</v>
      </c>
      <c r="AF63" s="56" t="s">
        <v>44</v>
      </c>
      <c r="AG63" s="55">
        <f>$G$63*AH63+0.1</f>
        <v>0.12059732234809475</v>
      </c>
      <c r="AH63" s="54">
        <f t="shared" si="22"/>
        <v>23.975283213182287</v>
      </c>
      <c r="AI63" s="53"/>
      <c r="AJ63" s="488"/>
      <c r="AK63" s="465"/>
      <c r="AL63" s="57" t="s">
        <v>46</v>
      </c>
      <c r="AM63" s="56" t="s">
        <v>44</v>
      </c>
      <c r="AN63" s="55">
        <f>$G$63*AO63</f>
        <v>0.76210092687950559</v>
      </c>
      <c r="AO63" s="54">
        <f t="shared" si="23"/>
        <v>887.08547888774456</v>
      </c>
      <c r="AP63" s="53"/>
      <c r="AQ63" s="4">
        <f t="shared" si="17"/>
        <v>0</v>
      </c>
    </row>
    <row r="64" spans="1:43" ht="26.25" thickBot="1" x14ac:dyDescent="0.25">
      <c r="A64" s="488"/>
      <c r="B64" s="465"/>
      <c r="C64" s="57" t="s">
        <v>45</v>
      </c>
      <c r="D64" s="56" t="s">
        <v>44</v>
      </c>
      <c r="E64" s="61">
        <v>1</v>
      </c>
      <c r="F64" s="60">
        <v>7666.0499999999993</v>
      </c>
      <c r="G64" s="59">
        <f t="shared" si="18"/>
        <v>1.3044527494602827E-4</v>
      </c>
      <c r="H64" s="214"/>
      <c r="I64" s="464"/>
      <c r="J64" s="73" t="s">
        <v>45</v>
      </c>
      <c r="K64" s="56" t="s">
        <v>44</v>
      </c>
      <c r="L64" s="58">
        <f>$G$64*M64-0.1</f>
        <v>0.37167868177136976</v>
      </c>
      <c r="M64" s="54">
        <f t="shared" si="19"/>
        <v>3615.9123583934088</v>
      </c>
      <c r="N64" s="62" t="s">
        <v>150</v>
      </c>
      <c r="O64" s="472"/>
      <c r="P64" s="465"/>
      <c r="Q64" s="57" t="s">
        <v>45</v>
      </c>
      <c r="R64" s="56" t="s">
        <v>44</v>
      </c>
      <c r="S64" s="58">
        <f>$G$64*T64+0.1</f>
        <v>0.10205973223480948</v>
      </c>
      <c r="T64" s="54">
        <f t="shared" si="20"/>
        <v>15.790010298661173</v>
      </c>
      <c r="U64" s="62"/>
      <c r="V64" s="488"/>
      <c r="W64" s="465"/>
      <c r="X64" s="57" t="s">
        <v>45</v>
      </c>
      <c r="Y64" s="56" t="s">
        <v>44</v>
      </c>
      <c r="Z64" s="55">
        <f>$G$64*AA64-0.1</f>
        <v>0.34799176107106067</v>
      </c>
      <c r="AA64" s="54">
        <f t="shared" si="21"/>
        <v>3434.327239958805</v>
      </c>
      <c r="AB64" s="62"/>
      <c r="AC64" s="488"/>
      <c r="AD64" s="465"/>
      <c r="AE64" s="57" t="s">
        <v>45</v>
      </c>
      <c r="AF64" s="56" t="s">
        <v>44</v>
      </c>
      <c r="AG64" s="55">
        <f>$G$64*AH64+0.1</f>
        <v>0.10205973223480948</v>
      </c>
      <c r="AH64" s="54">
        <f t="shared" si="22"/>
        <v>15.790010298661173</v>
      </c>
      <c r="AI64" s="62"/>
      <c r="AJ64" s="488"/>
      <c r="AK64" s="465"/>
      <c r="AL64" s="57" t="s">
        <v>45</v>
      </c>
      <c r="AM64" s="56" t="s">
        <v>44</v>
      </c>
      <c r="AN64" s="55">
        <f>$G$64*AO64</f>
        <v>7.6210092687950565E-2</v>
      </c>
      <c r="AO64" s="54">
        <f t="shared" si="23"/>
        <v>584.23038105046339</v>
      </c>
      <c r="AP64" s="62"/>
      <c r="AQ64" s="4">
        <f t="shared" si="17"/>
        <v>0</v>
      </c>
    </row>
    <row r="65" spans="1:43" ht="15" thickBot="1" x14ac:dyDescent="0.25">
      <c r="A65" s="488"/>
      <c r="B65" s="465"/>
      <c r="C65" s="57" t="s">
        <v>43</v>
      </c>
      <c r="D65" s="56" t="s">
        <v>42</v>
      </c>
      <c r="E65" s="61">
        <v>1</v>
      </c>
      <c r="F65" s="60">
        <v>90000</v>
      </c>
      <c r="G65" s="59">
        <f t="shared" si="18"/>
        <v>1.1111111111111112E-5</v>
      </c>
      <c r="H65" s="214"/>
      <c r="I65" s="464"/>
      <c r="J65" s="73" t="s">
        <v>43</v>
      </c>
      <c r="K65" s="56" t="s">
        <v>42</v>
      </c>
      <c r="L65" s="58">
        <f>$G$65*M65-0.1</f>
        <v>0.37167868177136976</v>
      </c>
      <c r="M65" s="54">
        <f t="shared" si="19"/>
        <v>42451.081359423275</v>
      </c>
      <c r="N65" s="53" t="s">
        <v>150</v>
      </c>
      <c r="O65" s="472"/>
      <c r="P65" s="465"/>
      <c r="Q65" s="57" t="s">
        <v>43</v>
      </c>
      <c r="R65" s="56" t="s">
        <v>42</v>
      </c>
      <c r="S65" s="58">
        <f>$G$65*T65+0.1</f>
        <v>0.10205973223480948</v>
      </c>
      <c r="T65" s="54">
        <f t="shared" si="20"/>
        <v>185.37590113285273</v>
      </c>
      <c r="U65" s="53"/>
      <c r="V65" s="488"/>
      <c r="W65" s="465"/>
      <c r="X65" s="57" t="s">
        <v>43</v>
      </c>
      <c r="Y65" s="56" t="s">
        <v>42</v>
      </c>
      <c r="Z65" s="55">
        <f>$G$65*AA65-0.1</f>
        <v>0.34799176107106078</v>
      </c>
      <c r="AA65" s="54">
        <f t="shared" si="21"/>
        <v>40319.258496395465</v>
      </c>
      <c r="AB65" s="53"/>
      <c r="AC65" s="488"/>
      <c r="AD65" s="465"/>
      <c r="AE65" s="57" t="s">
        <v>43</v>
      </c>
      <c r="AF65" s="56" t="s">
        <v>42</v>
      </c>
      <c r="AG65" s="55">
        <f>$G$65*AH65+0.1</f>
        <v>0.10205973223480948</v>
      </c>
      <c r="AH65" s="54">
        <f t="shared" si="22"/>
        <v>185.37590113285273</v>
      </c>
      <c r="AI65" s="53"/>
      <c r="AJ65" s="488"/>
      <c r="AK65" s="465"/>
      <c r="AL65" s="57" t="s">
        <v>43</v>
      </c>
      <c r="AM65" s="56" t="s">
        <v>42</v>
      </c>
      <c r="AN65" s="55">
        <f>$G$65*AO65</f>
        <v>7.6210092687950565E-2</v>
      </c>
      <c r="AO65" s="54">
        <f t="shared" si="23"/>
        <v>6858.9083419155504</v>
      </c>
      <c r="AP65" s="53"/>
      <c r="AQ65" s="4">
        <f t="shared" si="17"/>
        <v>0</v>
      </c>
    </row>
    <row r="66" spans="1:43" ht="26.25" thickBot="1" x14ac:dyDescent="0.25">
      <c r="A66" s="488"/>
      <c r="B66" s="465"/>
      <c r="C66" s="57" t="s">
        <v>41</v>
      </c>
      <c r="D66" s="56" t="s">
        <v>40</v>
      </c>
      <c r="E66" s="61">
        <v>1</v>
      </c>
      <c r="F66" s="60">
        <v>4500</v>
      </c>
      <c r="G66" s="59">
        <f t="shared" si="18"/>
        <v>2.2222222222222223E-4</v>
      </c>
      <c r="H66" s="214"/>
      <c r="I66" s="464"/>
      <c r="J66" s="73" t="s">
        <v>41</v>
      </c>
      <c r="K66" s="56" t="s">
        <v>40</v>
      </c>
      <c r="L66" s="58">
        <f>$G$66*M66-0.1</f>
        <v>0.37167868177136976</v>
      </c>
      <c r="M66" s="54">
        <f t="shared" si="19"/>
        <v>2122.5540679711639</v>
      </c>
      <c r="N66" s="53" t="s">
        <v>150</v>
      </c>
      <c r="O66" s="472"/>
      <c r="P66" s="465"/>
      <c r="Q66" s="57" t="s">
        <v>41</v>
      </c>
      <c r="R66" s="56" t="s">
        <v>40</v>
      </c>
      <c r="S66" s="58">
        <f>$G$66*T66+0.1</f>
        <v>0.10205973223480948</v>
      </c>
      <c r="T66" s="54">
        <f t="shared" si="20"/>
        <v>9.2687950566426363</v>
      </c>
      <c r="U66" s="53"/>
      <c r="V66" s="488"/>
      <c r="W66" s="465"/>
      <c r="X66" s="57" t="s">
        <v>41</v>
      </c>
      <c r="Y66" s="56" t="s">
        <v>40</v>
      </c>
      <c r="Z66" s="55">
        <f>$G$66*AA66-0.1</f>
        <v>0.34799176107106078</v>
      </c>
      <c r="AA66" s="54">
        <f t="shared" si="21"/>
        <v>2015.9629248197734</v>
      </c>
      <c r="AB66" s="53"/>
      <c r="AC66" s="488"/>
      <c r="AD66" s="465"/>
      <c r="AE66" s="57" t="s">
        <v>41</v>
      </c>
      <c r="AF66" s="56" t="s">
        <v>40</v>
      </c>
      <c r="AG66" s="55">
        <f>$G$66*AH66+0.1</f>
        <v>0.10205973223480948</v>
      </c>
      <c r="AH66" s="54">
        <f t="shared" si="22"/>
        <v>9.2687950566426363</v>
      </c>
      <c r="AI66" s="53"/>
      <c r="AJ66" s="488"/>
      <c r="AK66" s="465"/>
      <c r="AL66" s="57" t="s">
        <v>41</v>
      </c>
      <c r="AM66" s="56" t="s">
        <v>40</v>
      </c>
      <c r="AN66" s="55">
        <f>$G$66*AO66</f>
        <v>7.6210092687950565E-2</v>
      </c>
      <c r="AO66" s="54">
        <f t="shared" si="23"/>
        <v>342.94541709577754</v>
      </c>
      <c r="AP66" s="53"/>
      <c r="AQ66" s="4">
        <f t="shared" si="17"/>
        <v>0</v>
      </c>
    </row>
    <row r="67" spans="1:43" ht="15" hidden="1" customHeight="1" thickBot="1" x14ac:dyDescent="0.25">
      <c r="A67" s="488"/>
      <c r="B67" s="465"/>
      <c r="C67" s="8" t="s">
        <v>2</v>
      </c>
      <c r="D67" s="7"/>
      <c r="E67" s="52"/>
      <c r="F67" s="6">
        <f>SUM(F61:F66)</f>
        <v>202150.05</v>
      </c>
      <c r="G67" s="5">
        <f>SUM(G61:G66)</f>
        <v>1.8259700626078069E-3</v>
      </c>
      <c r="H67" s="214"/>
      <c r="I67" s="464"/>
      <c r="J67" s="206" t="s">
        <v>2</v>
      </c>
      <c r="K67" s="7"/>
      <c r="L67" s="52"/>
      <c r="M67" s="195">
        <f>$F$67/$G$2*H2</f>
        <v>95349.86910401647</v>
      </c>
      <c r="N67" s="5">
        <f>SUM(N61:N66)</f>
        <v>0</v>
      </c>
      <c r="O67" s="472"/>
      <c r="P67" s="465"/>
      <c r="Q67" s="8" t="s">
        <v>2</v>
      </c>
      <c r="R67" s="7"/>
      <c r="S67" s="52"/>
      <c r="T67" s="51">
        <f>$F$67/$G$2*I2</f>
        <v>416.37497425334703</v>
      </c>
      <c r="U67" s="5">
        <f>SUM(U61:U66)</f>
        <v>0</v>
      </c>
      <c r="V67" s="488"/>
      <c r="W67" s="465"/>
      <c r="X67" s="8" t="s">
        <v>2</v>
      </c>
      <c r="Y67" s="7"/>
      <c r="Z67" s="52"/>
      <c r="AA67" s="51">
        <f>$F$67/$G$2*J2</f>
        <v>90561.55690010298</v>
      </c>
      <c r="AB67" s="5">
        <f>SUM(AB61:AB66)</f>
        <v>0</v>
      </c>
      <c r="AC67" s="488"/>
      <c r="AD67" s="465"/>
      <c r="AE67" s="8" t="s">
        <v>2</v>
      </c>
      <c r="AF67" s="7"/>
      <c r="AG67" s="52"/>
      <c r="AH67" s="51">
        <f>$F$67/$G$2*K2</f>
        <v>416.37497425334703</v>
      </c>
      <c r="AI67" s="5">
        <f>SUM(AI61:AI66)</f>
        <v>0</v>
      </c>
      <c r="AJ67" s="488"/>
      <c r="AK67" s="465"/>
      <c r="AL67" s="8" t="s">
        <v>2</v>
      </c>
      <c r="AM67" s="7"/>
      <c r="AN67" s="52"/>
      <c r="AO67" s="51">
        <f>$F$67/$G$2*L2</f>
        <v>15405.87404737384</v>
      </c>
      <c r="AP67" s="5">
        <f>SUM(AP61:AP66)</f>
        <v>0</v>
      </c>
      <c r="AQ67" s="4">
        <f t="shared" si="17"/>
        <v>0</v>
      </c>
    </row>
    <row r="68" spans="1:43" ht="15" thickBot="1" x14ac:dyDescent="0.25">
      <c r="A68" s="488"/>
      <c r="B68" s="464"/>
      <c r="C68" s="466" t="s">
        <v>39</v>
      </c>
      <c r="D68" s="466"/>
      <c r="E68" s="466"/>
      <c r="F68" s="466"/>
      <c r="G68" s="467"/>
      <c r="H68" s="214"/>
      <c r="I68" s="464"/>
      <c r="J68" s="470" t="s">
        <v>39</v>
      </c>
      <c r="K68" s="466"/>
      <c r="L68" s="466"/>
      <c r="M68" s="466"/>
      <c r="N68" s="467"/>
      <c r="O68" s="472"/>
      <c r="P68" s="464"/>
      <c r="Q68" s="466" t="s">
        <v>39</v>
      </c>
      <c r="R68" s="468"/>
      <c r="S68" s="468"/>
      <c r="T68" s="468"/>
      <c r="U68" s="469"/>
      <c r="V68" s="488"/>
      <c r="W68" s="464"/>
      <c r="X68" s="466" t="s">
        <v>39</v>
      </c>
      <c r="Y68" s="468"/>
      <c r="Z68" s="468"/>
      <c r="AA68" s="468"/>
      <c r="AB68" s="469"/>
      <c r="AC68" s="488"/>
      <c r="AD68" s="464"/>
      <c r="AE68" s="466" t="s">
        <v>39</v>
      </c>
      <c r="AF68" s="466"/>
      <c r="AG68" s="468"/>
      <c r="AH68" s="468"/>
      <c r="AI68" s="469"/>
      <c r="AJ68" s="488"/>
      <c r="AK68" s="464"/>
      <c r="AL68" s="466" t="s">
        <v>39</v>
      </c>
      <c r="AM68" s="466"/>
      <c r="AN68" s="468"/>
      <c r="AO68" s="468"/>
      <c r="AP68" s="469"/>
      <c r="AQ68" s="4">
        <f t="shared" si="17"/>
        <v>0</v>
      </c>
    </row>
    <row r="69" spans="1:43" ht="84" customHeight="1" thickBot="1" x14ac:dyDescent="0.25">
      <c r="A69" s="488"/>
      <c r="B69" s="464"/>
      <c r="C69" s="47" t="s">
        <v>38</v>
      </c>
      <c r="D69" s="50" t="s">
        <v>37</v>
      </c>
      <c r="E69" s="40">
        <v>49</v>
      </c>
      <c r="F69" s="39">
        <v>22262958.999999996</v>
      </c>
      <c r="G69" s="49">
        <f>E69/F69</f>
        <v>2.2009652894747734E-6</v>
      </c>
      <c r="H69" s="214"/>
      <c r="I69" s="464"/>
      <c r="J69" s="279" t="s">
        <v>38</v>
      </c>
      <c r="K69" s="128" t="s">
        <v>37</v>
      </c>
      <c r="L69" s="322">
        <f>$G$69*M69</f>
        <v>23.112255406797122</v>
      </c>
      <c r="M69" s="244">
        <v>10500963.153450051</v>
      </c>
      <c r="N69" s="340" t="s">
        <v>150</v>
      </c>
      <c r="O69" s="472"/>
      <c r="P69" s="464"/>
      <c r="Q69" s="48" t="s">
        <v>38</v>
      </c>
      <c r="R69" s="31" t="s">
        <v>37</v>
      </c>
      <c r="S69" s="41">
        <f>$G$69*T69</f>
        <v>0.10092687950566429</v>
      </c>
      <c r="T69" s="12">
        <v>45855.734294541711</v>
      </c>
      <c r="U69" s="31"/>
      <c r="V69" s="472"/>
      <c r="W69" s="464"/>
      <c r="X69" s="48" t="s">
        <v>38</v>
      </c>
      <c r="Y69" s="31" t="s">
        <v>37</v>
      </c>
      <c r="Z69" s="41">
        <f>$G$69*AA69</f>
        <v>21.951596292481984</v>
      </c>
      <c r="AA69" s="12">
        <v>9973622.2090628222</v>
      </c>
      <c r="AB69" s="31"/>
      <c r="AC69" s="472"/>
      <c r="AD69" s="464"/>
      <c r="AE69" s="47" t="s">
        <v>38</v>
      </c>
      <c r="AF69" s="46" t="s">
        <v>37</v>
      </c>
      <c r="AG69" s="41">
        <f>$G$69*AH69</f>
        <v>0.10092687950566429</v>
      </c>
      <c r="AH69" s="12">
        <v>45855.734294541711</v>
      </c>
      <c r="AI69" s="31"/>
      <c r="AJ69" s="472"/>
      <c r="AK69" s="464"/>
      <c r="AL69" s="47" t="s">
        <v>38</v>
      </c>
      <c r="AM69" s="46" t="s">
        <v>37</v>
      </c>
      <c r="AN69" s="41">
        <f>$G$69*AO69</f>
        <v>3.7342945417095783</v>
      </c>
      <c r="AO69" s="12">
        <v>1696662.1688980432</v>
      </c>
      <c r="AP69" s="31"/>
      <c r="AQ69" s="4">
        <f t="shared" si="17"/>
        <v>-1.1990408665951691E-14</v>
      </c>
    </row>
    <row r="70" spans="1:43" ht="14.25" hidden="1" customHeight="1" x14ac:dyDescent="0.2">
      <c r="A70" s="488"/>
      <c r="B70" s="465"/>
      <c r="C70" s="43"/>
      <c r="D70" s="31"/>
      <c r="E70" s="45"/>
      <c r="F70" s="32"/>
      <c r="G70" s="31"/>
      <c r="H70" s="214"/>
      <c r="I70" s="464"/>
      <c r="J70" s="208"/>
      <c r="K70" s="31"/>
      <c r="L70" s="41"/>
      <c r="M70" s="32"/>
      <c r="N70" s="71"/>
      <c r="O70" s="472"/>
      <c r="P70" s="465"/>
      <c r="Q70" s="44"/>
      <c r="R70" s="31"/>
      <c r="S70" s="41"/>
      <c r="T70" s="32"/>
      <c r="U70" s="31"/>
      <c r="V70" s="472"/>
      <c r="W70" s="465"/>
      <c r="X70" s="44"/>
      <c r="Y70" s="31"/>
      <c r="Z70" s="41"/>
      <c r="AA70" s="32"/>
      <c r="AB70" s="31"/>
      <c r="AC70" s="472"/>
      <c r="AD70" s="465"/>
      <c r="AE70" s="43"/>
      <c r="AF70" s="42"/>
      <c r="AG70" s="41"/>
      <c r="AH70" s="32"/>
      <c r="AI70" s="31"/>
      <c r="AJ70" s="472"/>
      <c r="AK70" s="465"/>
      <c r="AL70" s="43"/>
      <c r="AM70" s="42"/>
      <c r="AN70" s="41"/>
      <c r="AO70" s="32"/>
      <c r="AP70" s="31"/>
      <c r="AQ70" s="4">
        <f t="shared" si="17"/>
        <v>0</v>
      </c>
    </row>
    <row r="71" spans="1:43" ht="14.25" hidden="1" customHeight="1" x14ac:dyDescent="0.2">
      <c r="A71" s="488"/>
      <c r="B71" s="465"/>
      <c r="C71" s="43"/>
      <c r="D71" s="31"/>
      <c r="E71" s="45"/>
      <c r="F71" s="32"/>
      <c r="G71" s="31"/>
      <c r="H71" s="214"/>
      <c r="I71" s="464"/>
      <c r="J71" s="208"/>
      <c r="K71" s="31"/>
      <c r="L71" s="41"/>
      <c r="M71" s="32"/>
      <c r="N71" s="71"/>
      <c r="O71" s="472"/>
      <c r="P71" s="465"/>
      <c r="Q71" s="44"/>
      <c r="R71" s="31"/>
      <c r="S71" s="41"/>
      <c r="T71" s="32"/>
      <c r="U71" s="31"/>
      <c r="V71" s="472"/>
      <c r="W71" s="465"/>
      <c r="X71" s="44"/>
      <c r="Y71" s="31"/>
      <c r="Z71" s="41"/>
      <c r="AA71" s="32"/>
      <c r="AB71" s="31"/>
      <c r="AC71" s="472"/>
      <c r="AD71" s="465"/>
      <c r="AE71" s="43"/>
      <c r="AF71" s="42"/>
      <c r="AG71" s="41"/>
      <c r="AH71" s="32"/>
      <c r="AI71" s="31"/>
      <c r="AJ71" s="472"/>
      <c r="AK71" s="465"/>
      <c r="AL71" s="43"/>
      <c r="AM71" s="42"/>
      <c r="AN71" s="41"/>
      <c r="AO71" s="32"/>
      <c r="AP71" s="31"/>
      <c r="AQ71" s="4">
        <f t="shared" si="17"/>
        <v>0</v>
      </c>
    </row>
    <row r="72" spans="1:43" ht="14.25" hidden="1" customHeight="1" x14ac:dyDescent="0.2">
      <c r="A72" s="488"/>
      <c r="B72" s="465"/>
      <c r="C72" s="43"/>
      <c r="D72" s="31"/>
      <c r="E72" s="45"/>
      <c r="F72" s="32"/>
      <c r="G72" s="31"/>
      <c r="H72" s="214"/>
      <c r="I72" s="464"/>
      <c r="J72" s="208"/>
      <c r="K72" s="31"/>
      <c r="L72" s="41"/>
      <c r="M72" s="32"/>
      <c r="N72" s="71"/>
      <c r="O72" s="472"/>
      <c r="P72" s="465"/>
      <c r="Q72" s="44"/>
      <c r="R72" s="31"/>
      <c r="S72" s="41"/>
      <c r="T72" s="32"/>
      <c r="U72" s="31"/>
      <c r="V72" s="472"/>
      <c r="W72" s="465"/>
      <c r="X72" s="44"/>
      <c r="Y72" s="31"/>
      <c r="Z72" s="41"/>
      <c r="AA72" s="32"/>
      <c r="AB72" s="31"/>
      <c r="AC72" s="472"/>
      <c r="AD72" s="465"/>
      <c r="AE72" s="43"/>
      <c r="AF72" s="42"/>
      <c r="AG72" s="41"/>
      <c r="AH72" s="32"/>
      <c r="AI72" s="31"/>
      <c r="AJ72" s="472"/>
      <c r="AK72" s="465"/>
      <c r="AL72" s="43"/>
      <c r="AM72" s="42"/>
      <c r="AN72" s="41"/>
      <c r="AO72" s="32"/>
      <c r="AP72" s="31"/>
      <c r="AQ72" s="4">
        <f t="shared" si="17"/>
        <v>0</v>
      </c>
    </row>
    <row r="73" spans="1:43" ht="14.25" hidden="1" customHeight="1" x14ac:dyDescent="0.2">
      <c r="A73" s="488"/>
      <c r="B73" s="465"/>
      <c r="C73" s="43"/>
      <c r="D73" s="31"/>
      <c r="E73" s="45"/>
      <c r="F73" s="32"/>
      <c r="G73" s="31"/>
      <c r="H73" s="214"/>
      <c r="I73" s="464"/>
      <c r="J73" s="208"/>
      <c r="K73" s="31"/>
      <c r="L73" s="41"/>
      <c r="M73" s="32"/>
      <c r="N73" s="71"/>
      <c r="O73" s="472"/>
      <c r="P73" s="465"/>
      <c r="Q73" s="44"/>
      <c r="R73" s="31"/>
      <c r="S73" s="41"/>
      <c r="T73" s="32"/>
      <c r="U73" s="31"/>
      <c r="V73" s="472"/>
      <c r="W73" s="465"/>
      <c r="X73" s="44"/>
      <c r="Y73" s="31"/>
      <c r="Z73" s="41"/>
      <c r="AA73" s="32"/>
      <c r="AB73" s="31"/>
      <c r="AC73" s="472"/>
      <c r="AD73" s="465"/>
      <c r="AE73" s="43"/>
      <c r="AF73" s="42"/>
      <c r="AG73" s="41"/>
      <c r="AH73" s="32"/>
      <c r="AI73" s="31"/>
      <c r="AJ73" s="472"/>
      <c r="AK73" s="465"/>
      <c r="AL73" s="43"/>
      <c r="AM73" s="42"/>
      <c r="AN73" s="41"/>
      <c r="AO73" s="32"/>
      <c r="AP73" s="31"/>
      <c r="AQ73" s="4">
        <f t="shared" si="17"/>
        <v>0</v>
      </c>
    </row>
    <row r="74" spans="1:43" ht="14.25" hidden="1" customHeight="1" x14ac:dyDescent="0.2">
      <c r="A74" s="488"/>
      <c r="B74" s="465"/>
      <c r="C74" s="43"/>
      <c r="D74" s="31"/>
      <c r="E74" s="45"/>
      <c r="F74" s="32"/>
      <c r="G74" s="31"/>
      <c r="H74" s="214"/>
      <c r="I74" s="464"/>
      <c r="J74" s="208"/>
      <c r="K74" s="31"/>
      <c r="L74" s="41"/>
      <c r="M74" s="32"/>
      <c r="N74" s="71"/>
      <c r="O74" s="472"/>
      <c r="P74" s="465"/>
      <c r="Q74" s="44"/>
      <c r="R74" s="31"/>
      <c r="S74" s="41"/>
      <c r="T74" s="32"/>
      <c r="U74" s="31"/>
      <c r="V74" s="472"/>
      <c r="W74" s="465"/>
      <c r="X74" s="44"/>
      <c r="Y74" s="31"/>
      <c r="Z74" s="41"/>
      <c r="AA74" s="32"/>
      <c r="AB74" s="31"/>
      <c r="AC74" s="472"/>
      <c r="AD74" s="465"/>
      <c r="AE74" s="43"/>
      <c r="AF74" s="42"/>
      <c r="AG74" s="41"/>
      <c r="AH74" s="32"/>
      <c r="AI74" s="31"/>
      <c r="AJ74" s="472"/>
      <c r="AK74" s="465"/>
      <c r="AL74" s="43"/>
      <c r="AM74" s="42"/>
      <c r="AN74" s="41"/>
      <c r="AO74" s="32"/>
      <c r="AP74" s="31"/>
      <c r="AQ74" s="4">
        <f t="shared" si="17"/>
        <v>0</v>
      </c>
    </row>
    <row r="75" spans="1:43" ht="14.25" hidden="1" customHeight="1" x14ac:dyDescent="0.2">
      <c r="A75" s="488"/>
      <c r="B75" s="465"/>
      <c r="C75" s="43"/>
      <c r="D75" s="31"/>
      <c r="E75" s="45"/>
      <c r="F75" s="32"/>
      <c r="G75" s="31"/>
      <c r="H75" s="214"/>
      <c r="I75" s="464"/>
      <c r="J75" s="208"/>
      <c r="K75" s="31"/>
      <c r="L75" s="41"/>
      <c r="M75" s="32"/>
      <c r="N75" s="71"/>
      <c r="O75" s="472"/>
      <c r="P75" s="465"/>
      <c r="Q75" s="44"/>
      <c r="R75" s="31"/>
      <c r="S75" s="41"/>
      <c r="T75" s="32"/>
      <c r="U75" s="31"/>
      <c r="V75" s="472"/>
      <c r="W75" s="465"/>
      <c r="X75" s="44"/>
      <c r="Y75" s="31"/>
      <c r="Z75" s="41"/>
      <c r="AA75" s="32"/>
      <c r="AB75" s="31"/>
      <c r="AC75" s="472"/>
      <c r="AD75" s="465"/>
      <c r="AE75" s="43"/>
      <c r="AF75" s="42"/>
      <c r="AG75" s="41"/>
      <c r="AH75" s="32"/>
      <c r="AI75" s="31"/>
      <c r="AJ75" s="472"/>
      <c r="AK75" s="465"/>
      <c r="AL75" s="43"/>
      <c r="AM75" s="42"/>
      <c r="AN75" s="41"/>
      <c r="AO75" s="32"/>
      <c r="AP75" s="31"/>
      <c r="AQ75" s="4">
        <f t="shared" si="17"/>
        <v>0</v>
      </c>
    </row>
    <row r="76" spans="1:43" ht="14.25" hidden="1" customHeight="1" x14ac:dyDescent="0.2">
      <c r="A76" s="488"/>
      <c r="B76" s="465"/>
      <c r="C76" s="43"/>
      <c r="D76" s="31"/>
      <c r="E76" s="45"/>
      <c r="F76" s="32"/>
      <c r="G76" s="31"/>
      <c r="H76" s="214"/>
      <c r="I76" s="464"/>
      <c r="J76" s="208"/>
      <c r="K76" s="31"/>
      <c r="L76" s="41"/>
      <c r="M76" s="32"/>
      <c r="N76" s="71"/>
      <c r="O76" s="472"/>
      <c r="P76" s="465"/>
      <c r="Q76" s="44"/>
      <c r="R76" s="31"/>
      <c r="S76" s="41"/>
      <c r="T76" s="32"/>
      <c r="U76" s="31"/>
      <c r="V76" s="472"/>
      <c r="W76" s="465"/>
      <c r="X76" s="44"/>
      <c r="Y76" s="31"/>
      <c r="Z76" s="41"/>
      <c r="AA76" s="32"/>
      <c r="AB76" s="31"/>
      <c r="AC76" s="472"/>
      <c r="AD76" s="465"/>
      <c r="AE76" s="43"/>
      <c r="AF76" s="42"/>
      <c r="AG76" s="41"/>
      <c r="AH76" s="32"/>
      <c r="AI76" s="31"/>
      <c r="AJ76" s="472"/>
      <c r="AK76" s="465"/>
      <c r="AL76" s="43"/>
      <c r="AM76" s="42"/>
      <c r="AN76" s="41"/>
      <c r="AO76" s="32"/>
      <c r="AP76" s="31"/>
      <c r="AQ76" s="4">
        <f t="shared" ref="AQ76:AQ107" si="24">E76-L76-S76-Z76-AG76-AN76</f>
        <v>0</v>
      </c>
    </row>
    <row r="77" spans="1:43" ht="14.25" hidden="1" customHeight="1" x14ac:dyDescent="0.2">
      <c r="A77" s="488"/>
      <c r="B77" s="465"/>
      <c r="C77" s="43"/>
      <c r="D77" s="31"/>
      <c r="E77" s="45"/>
      <c r="F77" s="32"/>
      <c r="G77" s="31"/>
      <c r="H77" s="214"/>
      <c r="I77" s="464"/>
      <c r="J77" s="208"/>
      <c r="K77" s="31"/>
      <c r="L77" s="41"/>
      <c r="M77" s="32"/>
      <c r="N77" s="71"/>
      <c r="O77" s="472"/>
      <c r="P77" s="465"/>
      <c r="Q77" s="44"/>
      <c r="R77" s="31"/>
      <c r="S77" s="41"/>
      <c r="T77" s="32"/>
      <c r="U77" s="31"/>
      <c r="V77" s="472"/>
      <c r="W77" s="465"/>
      <c r="X77" s="44"/>
      <c r="Y77" s="31"/>
      <c r="Z77" s="41"/>
      <c r="AA77" s="32"/>
      <c r="AB77" s="31"/>
      <c r="AC77" s="472"/>
      <c r="AD77" s="465"/>
      <c r="AE77" s="43"/>
      <c r="AF77" s="42"/>
      <c r="AG77" s="41"/>
      <c r="AH77" s="32"/>
      <c r="AI77" s="31"/>
      <c r="AJ77" s="472"/>
      <c r="AK77" s="465"/>
      <c r="AL77" s="43"/>
      <c r="AM77" s="42"/>
      <c r="AN77" s="41"/>
      <c r="AO77" s="32"/>
      <c r="AP77" s="31"/>
      <c r="AQ77" s="4">
        <f t="shared" si="24"/>
        <v>0</v>
      </c>
    </row>
    <row r="78" spans="1:43" ht="14.25" hidden="1" customHeight="1" x14ac:dyDescent="0.2">
      <c r="A78" s="488"/>
      <c r="B78" s="465"/>
      <c r="C78" s="43"/>
      <c r="D78" s="31"/>
      <c r="E78" s="45"/>
      <c r="F78" s="32"/>
      <c r="G78" s="31"/>
      <c r="H78" s="214"/>
      <c r="I78" s="464"/>
      <c r="J78" s="208"/>
      <c r="K78" s="31"/>
      <c r="L78" s="41"/>
      <c r="M78" s="32"/>
      <c r="N78" s="71"/>
      <c r="O78" s="472"/>
      <c r="P78" s="465"/>
      <c r="Q78" s="44"/>
      <c r="R78" s="31"/>
      <c r="S78" s="41"/>
      <c r="T78" s="32"/>
      <c r="U78" s="31"/>
      <c r="V78" s="472"/>
      <c r="W78" s="465"/>
      <c r="X78" s="44"/>
      <c r="Y78" s="31"/>
      <c r="Z78" s="41"/>
      <c r="AA78" s="32"/>
      <c r="AB78" s="31"/>
      <c r="AC78" s="472"/>
      <c r="AD78" s="465"/>
      <c r="AE78" s="43"/>
      <c r="AF78" s="42"/>
      <c r="AG78" s="41"/>
      <c r="AH78" s="32"/>
      <c r="AI78" s="31"/>
      <c r="AJ78" s="472"/>
      <c r="AK78" s="465"/>
      <c r="AL78" s="43"/>
      <c r="AM78" s="42"/>
      <c r="AN78" s="41"/>
      <c r="AO78" s="32"/>
      <c r="AP78" s="31"/>
      <c r="AQ78" s="4">
        <f t="shared" si="24"/>
        <v>0</v>
      </c>
    </row>
    <row r="79" spans="1:43" ht="14.25" hidden="1" customHeight="1" x14ac:dyDescent="0.2">
      <c r="A79" s="488"/>
      <c r="B79" s="465"/>
      <c r="C79" s="43"/>
      <c r="D79" s="31"/>
      <c r="E79" s="45"/>
      <c r="F79" s="32"/>
      <c r="G79" s="31"/>
      <c r="H79" s="214"/>
      <c r="I79" s="464"/>
      <c r="J79" s="208"/>
      <c r="K79" s="31"/>
      <c r="L79" s="41"/>
      <c r="M79" s="32"/>
      <c r="N79" s="71"/>
      <c r="O79" s="472"/>
      <c r="P79" s="465"/>
      <c r="Q79" s="44"/>
      <c r="R79" s="31"/>
      <c r="S79" s="41"/>
      <c r="T79" s="32"/>
      <c r="U79" s="31"/>
      <c r="V79" s="472"/>
      <c r="W79" s="465"/>
      <c r="X79" s="44"/>
      <c r="Y79" s="31"/>
      <c r="Z79" s="41"/>
      <c r="AA79" s="32"/>
      <c r="AB79" s="31"/>
      <c r="AC79" s="472"/>
      <c r="AD79" s="465"/>
      <c r="AE79" s="43"/>
      <c r="AF79" s="42"/>
      <c r="AG79" s="41"/>
      <c r="AH79" s="32"/>
      <c r="AI79" s="31"/>
      <c r="AJ79" s="472"/>
      <c r="AK79" s="465"/>
      <c r="AL79" s="43"/>
      <c r="AM79" s="42"/>
      <c r="AN79" s="41"/>
      <c r="AO79" s="32"/>
      <c r="AP79" s="31"/>
      <c r="AQ79" s="4">
        <f t="shared" si="24"/>
        <v>0</v>
      </c>
    </row>
    <row r="80" spans="1:43" ht="14.25" hidden="1" customHeight="1" x14ac:dyDescent="0.2">
      <c r="A80" s="488"/>
      <c r="B80" s="465"/>
      <c r="C80" s="43"/>
      <c r="D80" s="31"/>
      <c r="E80" s="45"/>
      <c r="F80" s="32"/>
      <c r="G80" s="31"/>
      <c r="H80" s="214"/>
      <c r="I80" s="464"/>
      <c r="J80" s="208"/>
      <c r="K80" s="31"/>
      <c r="L80" s="41"/>
      <c r="M80" s="32"/>
      <c r="N80" s="71"/>
      <c r="O80" s="472"/>
      <c r="P80" s="465"/>
      <c r="Q80" s="44"/>
      <c r="R80" s="31"/>
      <c r="S80" s="41"/>
      <c r="T80" s="32"/>
      <c r="U80" s="31"/>
      <c r="V80" s="472"/>
      <c r="W80" s="465"/>
      <c r="X80" s="44"/>
      <c r="Y80" s="31"/>
      <c r="Z80" s="41"/>
      <c r="AA80" s="32"/>
      <c r="AB80" s="31"/>
      <c r="AC80" s="472"/>
      <c r="AD80" s="465"/>
      <c r="AE80" s="43"/>
      <c r="AF80" s="42"/>
      <c r="AG80" s="41"/>
      <c r="AH80" s="32"/>
      <c r="AI80" s="31"/>
      <c r="AJ80" s="472"/>
      <c r="AK80" s="465"/>
      <c r="AL80" s="43"/>
      <c r="AM80" s="42"/>
      <c r="AN80" s="41"/>
      <c r="AO80" s="32"/>
      <c r="AP80" s="31"/>
      <c r="AQ80" s="4">
        <f t="shared" si="24"/>
        <v>0</v>
      </c>
    </row>
    <row r="81" spans="1:43" ht="14.25" hidden="1" customHeight="1" x14ac:dyDescent="0.2">
      <c r="A81" s="488"/>
      <c r="B81" s="465"/>
      <c r="C81" s="43"/>
      <c r="D81" s="31"/>
      <c r="E81" s="45"/>
      <c r="F81" s="32"/>
      <c r="G81" s="31"/>
      <c r="H81" s="214"/>
      <c r="I81" s="464"/>
      <c r="J81" s="208"/>
      <c r="K81" s="31"/>
      <c r="L81" s="41"/>
      <c r="M81" s="32"/>
      <c r="N81" s="71"/>
      <c r="O81" s="472"/>
      <c r="P81" s="465"/>
      <c r="Q81" s="44"/>
      <c r="R81" s="31"/>
      <c r="S81" s="41"/>
      <c r="T81" s="32"/>
      <c r="U81" s="31"/>
      <c r="V81" s="472"/>
      <c r="W81" s="465"/>
      <c r="X81" s="44"/>
      <c r="Y81" s="31"/>
      <c r="Z81" s="41"/>
      <c r="AA81" s="32"/>
      <c r="AB81" s="31"/>
      <c r="AC81" s="472"/>
      <c r="AD81" s="465"/>
      <c r="AE81" s="43"/>
      <c r="AF81" s="42"/>
      <c r="AG81" s="41"/>
      <c r="AH81" s="32"/>
      <c r="AI81" s="31"/>
      <c r="AJ81" s="472"/>
      <c r="AK81" s="465"/>
      <c r="AL81" s="43"/>
      <c r="AM81" s="42"/>
      <c r="AN81" s="41"/>
      <c r="AO81" s="32"/>
      <c r="AP81" s="31"/>
      <c r="AQ81" s="4">
        <f t="shared" si="24"/>
        <v>0</v>
      </c>
    </row>
    <row r="82" spans="1:43" ht="14.25" hidden="1" customHeight="1" x14ac:dyDescent="0.2">
      <c r="A82" s="488"/>
      <c r="B82" s="465"/>
      <c r="C82" s="43"/>
      <c r="D82" s="31"/>
      <c r="E82" s="45"/>
      <c r="F82" s="32"/>
      <c r="G82" s="31"/>
      <c r="H82" s="214"/>
      <c r="I82" s="464"/>
      <c r="J82" s="208"/>
      <c r="K82" s="31"/>
      <c r="L82" s="41"/>
      <c r="M82" s="32"/>
      <c r="N82" s="71"/>
      <c r="O82" s="472"/>
      <c r="P82" s="465"/>
      <c r="Q82" s="44"/>
      <c r="R82" s="31"/>
      <c r="S82" s="41"/>
      <c r="T82" s="32"/>
      <c r="U82" s="31"/>
      <c r="V82" s="472"/>
      <c r="W82" s="465"/>
      <c r="X82" s="44"/>
      <c r="Y82" s="31"/>
      <c r="Z82" s="41"/>
      <c r="AA82" s="32"/>
      <c r="AB82" s="31"/>
      <c r="AC82" s="472"/>
      <c r="AD82" s="465"/>
      <c r="AE82" s="43"/>
      <c r="AF82" s="42"/>
      <c r="AG82" s="41"/>
      <c r="AH82" s="32"/>
      <c r="AI82" s="31"/>
      <c r="AJ82" s="472"/>
      <c r="AK82" s="465"/>
      <c r="AL82" s="43"/>
      <c r="AM82" s="42"/>
      <c r="AN82" s="41"/>
      <c r="AO82" s="32"/>
      <c r="AP82" s="31"/>
      <c r="AQ82" s="4">
        <f t="shared" si="24"/>
        <v>0</v>
      </c>
    </row>
    <row r="83" spans="1:43" ht="14.25" hidden="1" customHeight="1" x14ac:dyDescent="0.2">
      <c r="A83" s="488"/>
      <c r="B83" s="465"/>
      <c r="C83" s="43"/>
      <c r="D83" s="31"/>
      <c r="E83" s="45"/>
      <c r="F83" s="32"/>
      <c r="G83" s="31"/>
      <c r="H83" s="214"/>
      <c r="I83" s="464"/>
      <c r="J83" s="208"/>
      <c r="K83" s="31"/>
      <c r="L83" s="41"/>
      <c r="M83" s="32"/>
      <c r="N83" s="71"/>
      <c r="O83" s="472"/>
      <c r="P83" s="465"/>
      <c r="Q83" s="44"/>
      <c r="R83" s="31"/>
      <c r="S83" s="41"/>
      <c r="T83" s="32"/>
      <c r="U83" s="31"/>
      <c r="V83" s="472"/>
      <c r="W83" s="465"/>
      <c r="X83" s="44"/>
      <c r="Y83" s="31"/>
      <c r="Z83" s="41"/>
      <c r="AA83" s="32"/>
      <c r="AB83" s="31"/>
      <c r="AC83" s="472"/>
      <c r="AD83" s="465"/>
      <c r="AE83" s="43"/>
      <c r="AF83" s="42"/>
      <c r="AG83" s="41"/>
      <c r="AH83" s="32"/>
      <c r="AI83" s="31"/>
      <c r="AJ83" s="472"/>
      <c r="AK83" s="465"/>
      <c r="AL83" s="43"/>
      <c r="AM83" s="42"/>
      <c r="AN83" s="41"/>
      <c r="AO83" s="32"/>
      <c r="AP83" s="31"/>
      <c r="AQ83" s="4">
        <f t="shared" si="24"/>
        <v>0</v>
      </c>
    </row>
    <row r="84" spans="1:43" ht="14.25" hidden="1" customHeight="1" x14ac:dyDescent="0.2">
      <c r="A84" s="488"/>
      <c r="B84" s="465"/>
      <c r="C84" s="43"/>
      <c r="D84" s="31"/>
      <c r="E84" s="45"/>
      <c r="F84" s="32"/>
      <c r="G84" s="31"/>
      <c r="H84" s="214"/>
      <c r="I84" s="464"/>
      <c r="J84" s="208"/>
      <c r="K84" s="31"/>
      <c r="L84" s="41"/>
      <c r="M84" s="32"/>
      <c r="N84" s="71"/>
      <c r="O84" s="472"/>
      <c r="P84" s="465"/>
      <c r="Q84" s="44"/>
      <c r="R84" s="31"/>
      <c r="S84" s="41"/>
      <c r="T84" s="32"/>
      <c r="U84" s="31"/>
      <c r="V84" s="472"/>
      <c r="W84" s="465"/>
      <c r="X84" s="44"/>
      <c r="Y84" s="31"/>
      <c r="Z84" s="41"/>
      <c r="AA84" s="32"/>
      <c r="AB84" s="31"/>
      <c r="AC84" s="472"/>
      <c r="AD84" s="465"/>
      <c r="AE84" s="43"/>
      <c r="AF84" s="42"/>
      <c r="AG84" s="41"/>
      <c r="AH84" s="32"/>
      <c r="AI84" s="31"/>
      <c r="AJ84" s="472"/>
      <c r="AK84" s="465"/>
      <c r="AL84" s="43"/>
      <c r="AM84" s="42"/>
      <c r="AN84" s="41"/>
      <c r="AO84" s="32"/>
      <c r="AP84" s="31"/>
      <c r="AQ84" s="4">
        <f t="shared" si="24"/>
        <v>0</v>
      </c>
    </row>
    <row r="85" spans="1:43" ht="14.25" hidden="1" customHeight="1" x14ac:dyDescent="0.2">
      <c r="A85" s="488"/>
      <c r="B85" s="465"/>
      <c r="C85" s="43"/>
      <c r="D85" s="31"/>
      <c r="E85" s="45"/>
      <c r="F85" s="32"/>
      <c r="G85" s="31"/>
      <c r="H85" s="214"/>
      <c r="I85" s="464"/>
      <c r="J85" s="208"/>
      <c r="K85" s="31"/>
      <c r="L85" s="41"/>
      <c r="M85" s="32"/>
      <c r="N85" s="71"/>
      <c r="O85" s="472"/>
      <c r="P85" s="465"/>
      <c r="Q85" s="44"/>
      <c r="R85" s="31"/>
      <c r="S85" s="41"/>
      <c r="T85" s="32"/>
      <c r="U85" s="31"/>
      <c r="V85" s="472"/>
      <c r="W85" s="465"/>
      <c r="X85" s="44"/>
      <c r="Y85" s="31"/>
      <c r="Z85" s="41"/>
      <c r="AA85" s="32"/>
      <c r="AB85" s="31"/>
      <c r="AC85" s="472"/>
      <c r="AD85" s="465"/>
      <c r="AE85" s="43"/>
      <c r="AF85" s="42"/>
      <c r="AG85" s="41"/>
      <c r="AH85" s="32"/>
      <c r="AI85" s="31"/>
      <c r="AJ85" s="472"/>
      <c r="AK85" s="465"/>
      <c r="AL85" s="43"/>
      <c r="AM85" s="42"/>
      <c r="AN85" s="41"/>
      <c r="AO85" s="32"/>
      <c r="AP85" s="31"/>
      <c r="AQ85" s="4">
        <f t="shared" si="24"/>
        <v>0</v>
      </c>
    </row>
    <row r="86" spans="1:43" ht="14.25" hidden="1" customHeight="1" x14ac:dyDescent="0.2">
      <c r="A86" s="488"/>
      <c r="B86" s="465"/>
      <c r="C86" s="43"/>
      <c r="D86" s="31"/>
      <c r="E86" s="45"/>
      <c r="F86" s="32"/>
      <c r="G86" s="31"/>
      <c r="H86" s="214"/>
      <c r="I86" s="464"/>
      <c r="J86" s="208"/>
      <c r="K86" s="31"/>
      <c r="L86" s="41"/>
      <c r="M86" s="32"/>
      <c r="N86" s="71"/>
      <c r="O86" s="472"/>
      <c r="P86" s="465"/>
      <c r="Q86" s="44"/>
      <c r="R86" s="31"/>
      <c r="S86" s="41"/>
      <c r="T86" s="32"/>
      <c r="U86" s="31"/>
      <c r="V86" s="472"/>
      <c r="W86" s="465"/>
      <c r="X86" s="44"/>
      <c r="Y86" s="31"/>
      <c r="Z86" s="41"/>
      <c r="AA86" s="32"/>
      <c r="AB86" s="31"/>
      <c r="AC86" s="472"/>
      <c r="AD86" s="465"/>
      <c r="AE86" s="43"/>
      <c r="AF86" s="42"/>
      <c r="AG86" s="41"/>
      <c r="AH86" s="32"/>
      <c r="AI86" s="31"/>
      <c r="AJ86" s="472"/>
      <c r="AK86" s="465"/>
      <c r="AL86" s="43"/>
      <c r="AM86" s="42"/>
      <c r="AN86" s="41"/>
      <c r="AO86" s="32"/>
      <c r="AP86" s="31"/>
      <c r="AQ86" s="4">
        <f t="shared" si="24"/>
        <v>0</v>
      </c>
    </row>
    <row r="87" spans="1:43" ht="14.25" hidden="1" customHeight="1" x14ac:dyDescent="0.2">
      <c r="A87" s="488"/>
      <c r="B87" s="465"/>
      <c r="C87" s="43"/>
      <c r="D87" s="31"/>
      <c r="E87" s="45"/>
      <c r="F87" s="32"/>
      <c r="G87" s="31"/>
      <c r="H87" s="214"/>
      <c r="I87" s="464"/>
      <c r="J87" s="208"/>
      <c r="K87" s="31"/>
      <c r="L87" s="41"/>
      <c r="M87" s="32"/>
      <c r="N87" s="71"/>
      <c r="O87" s="472"/>
      <c r="P87" s="465"/>
      <c r="Q87" s="44"/>
      <c r="R87" s="31"/>
      <c r="S87" s="41"/>
      <c r="T87" s="32"/>
      <c r="U87" s="31"/>
      <c r="V87" s="472"/>
      <c r="W87" s="465"/>
      <c r="X87" s="44"/>
      <c r="Y87" s="31"/>
      <c r="Z87" s="41"/>
      <c r="AA87" s="32"/>
      <c r="AB87" s="31"/>
      <c r="AC87" s="472"/>
      <c r="AD87" s="465"/>
      <c r="AE87" s="43"/>
      <c r="AF87" s="42"/>
      <c r="AG87" s="41"/>
      <c r="AH87" s="32"/>
      <c r="AI87" s="31"/>
      <c r="AJ87" s="472"/>
      <c r="AK87" s="465"/>
      <c r="AL87" s="43"/>
      <c r="AM87" s="42"/>
      <c r="AN87" s="41"/>
      <c r="AO87" s="32"/>
      <c r="AP87" s="31"/>
      <c r="AQ87" s="4">
        <f t="shared" si="24"/>
        <v>0</v>
      </c>
    </row>
    <row r="88" spans="1:43" ht="14.25" hidden="1" customHeight="1" x14ac:dyDescent="0.2">
      <c r="A88" s="488"/>
      <c r="B88" s="465"/>
      <c r="C88" s="43"/>
      <c r="D88" s="31"/>
      <c r="E88" s="45"/>
      <c r="F88" s="32"/>
      <c r="G88" s="31"/>
      <c r="H88" s="214"/>
      <c r="I88" s="464"/>
      <c r="J88" s="208"/>
      <c r="K88" s="31"/>
      <c r="L88" s="41"/>
      <c r="M88" s="32"/>
      <c r="N88" s="71"/>
      <c r="O88" s="472"/>
      <c r="P88" s="465"/>
      <c r="Q88" s="44"/>
      <c r="R88" s="31"/>
      <c r="S88" s="41"/>
      <c r="T88" s="32"/>
      <c r="U88" s="31"/>
      <c r="V88" s="472"/>
      <c r="W88" s="465"/>
      <c r="X88" s="44"/>
      <c r="Y88" s="31"/>
      <c r="Z88" s="41"/>
      <c r="AA88" s="32"/>
      <c r="AB88" s="31"/>
      <c r="AC88" s="472"/>
      <c r="AD88" s="465"/>
      <c r="AE88" s="43"/>
      <c r="AF88" s="42"/>
      <c r="AG88" s="41"/>
      <c r="AH88" s="32"/>
      <c r="AI88" s="31"/>
      <c r="AJ88" s="472"/>
      <c r="AK88" s="465"/>
      <c r="AL88" s="43"/>
      <c r="AM88" s="42"/>
      <c r="AN88" s="41"/>
      <c r="AO88" s="32"/>
      <c r="AP88" s="31"/>
      <c r="AQ88" s="4">
        <f t="shared" si="24"/>
        <v>0</v>
      </c>
    </row>
    <row r="89" spans="1:43" ht="14.25" hidden="1" customHeight="1" x14ac:dyDescent="0.2">
      <c r="A89" s="488"/>
      <c r="B89" s="465"/>
      <c r="C89" s="43"/>
      <c r="D89" s="31"/>
      <c r="E89" s="45"/>
      <c r="F89" s="32"/>
      <c r="G89" s="31"/>
      <c r="H89" s="214"/>
      <c r="I89" s="464"/>
      <c r="J89" s="208"/>
      <c r="K89" s="31"/>
      <c r="L89" s="41"/>
      <c r="M89" s="32"/>
      <c r="N89" s="71"/>
      <c r="O89" s="472"/>
      <c r="P89" s="465"/>
      <c r="Q89" s="44"/>
      <c r="R89" s="31"/>
      <c r="S89" s="41"/>
      <c r="T89" s="32"/>
      <c r="U89" s="31"/>
      <c r="V89" s="472"/>
      <c r="W89" s="465"/>
      <c r="X89" s="44"/>
      <c r="Y89" s="31"/>
      <c r="Z89" s="41"/>
      <c r="AA89" s="32"/>
      <c r="AB89" s="31"/>
      <c r="AC89" s="472"/>
      <c r="AD89" s="465"/>
      <c r="AE89" s="43"/>
      <c r="AF89" s="42"/>
      <c r="AG89" s="41"/>
      <c r="AH89" s="32"/>
      <c r="AI89" s="31"/>
      <c r="AJ89" s="472"/>
      <c r="AK89" s="465"/>
      <c r="AL89" s="43"/>
      <c r="AM89" s="42"/>
      <c r="AN89" s="41"/>
      <c r="AO89" s="32"/>
      <c r="AP89" s="31"/>
      <c r="AQ89" s="4">
        <f t="shared" si="24"/>
        <v>0</v>
      </c>
    </row>
    <row r="90" spans="1:43" ht="14.25" hidden="1" customHeight="1" x14ac:dyDescent="0.2">
      <c r="A90" s="488"/>
      <c r="B90" s="465"/>
      <c r="C90" s="43"/>
      <c r="D90" s="31"/>
      <c r="E90" s="45"/>
      <c r="F90" s="32"/>
      <c r="G90" s="31"/>
      <c r="H90" s="214"/>
      <c r="I90" s="464"/>
      <c r="J90" s="208"/>
      <c r="K90" s="31"/>
      <c r="L90" s="41"/>
      <c r="M90" s="32"/>
      <c r="N90" s="71"/>
      <c r="O90" s="472"/>
      <c r="P90" s="465"/>
      <c r="Q90" s="44"/>
      <c r="R90" s="31"/>
      <c r="S90" s="41"/>
      <c r="T90" s="32"/>
      <c r="U90" s="31"/>
      <c r="V90" s="472"/>
      <c r="W90" s="465"/>
      <c r="X90" s="44"/>
      <c r="Y90" s="31"/>
      <c r="Z90" s="41"/>
      <c r="AA90" s="32"/>
      <c r="AB90" s="31"/>
      <c r="AC90" s="472"/>
      <c r="AD90" s="465"/>
      <c r="AE90" s="43"/>
      <c r="AF90" s="42"/>
      <c r="AG90" s="41"/>
      <c r="AH90" s="32"/>
      <c r="AI90" s="31"/>
      <c r="AJ90" s="472"/>
      <c r="AK90" s="465"/>
      <c r="AL90" s="43"/>
      <c r="AM90" s="42"/>
      <c r="AN90" s="41"/>
      <c r="AO90" s="32"/>
      <c r="AP90" s="31"/>
      <c r="AQ90" s="4">
        <f t="shared" si="24"/>
        <v>0</v>
      </c>
    </row>
    <row r="91" spans="1:43" ht="15" hidden="1" thickBot="1" x14ac:dyDescent="0.25">
      <c r="A91" s="488"/>
      <c r="B91" s="464"/>
      <c r="C91" s="38"/>
      <c r="D91" s="38"/>
      <c r="E91" s="40">
        <v>49</v>
      </c>
      <c r="F91" s="39">
        <v>22262958.999999996</v>
      </c>
      <c r="G91" s="38"/>
      <c r="H91" s="214"/>
      <c r="I91" s="464"/>
      <c r="J91" s="254"/>
      <c r="K91" s="14"/>
      <c r="L91" s="251">
        <f>SUM(L69:L90)</f>
        <v>23.112255406797122</v>
      </c>
      <c r="M91" s="19">
        <f>SUM(M69:M90)</f>
        <v>10500963.153450051</v>
      </c>
      <c r="N91" s="219"/>
      <c r="O91" s="472"/>
      <c r="P91" s="464"/>
      <c r="Q91" s="9"/>
      <c r="R91" s="31"/>
      <c r="S91" s="37">
        <f>SUM(S69:S90)</f>
        <v>0.10092687950566429</v>
      </c>
      <c r="T91" s="32">
        <f>SUM(T69:T90)</f>
        <v>45855.734294541711</v>
      </c>
      <c r="U91" s="31"/>
      <c r="V91" s="472"/>
      <c r="W91" s="464"/>
      <c r="X91" s="9"/>
      <c r="Y91" s="31"/>
      <c r="Z91" s="37">
        <f>SUM(Z69:Z90)</f>
        <v>21.951596292481984</v>
      </c>
      <c r="AA91" s="32">
        <f>SUM(AA69:AA90)</f>
        <v>9973622.2090628222</v>
      </c>
      <c r="AB91" s="31"/>
      <c r="AC91" s="472"/>
      <c r="AD91" s="464"/>
      <c r="AE91" s="38"/>
      <c r="AF91" s="9"/>
      <c r="AG91" s="37">
        <f>SUM(AG69:AG90)</f>
        <v>0.10092687950566429</v>
      </c>
      <c r="AH91" s="32">
        <f>SUM(AH69:AH90)</f>
        <v>45855.734294541711</v>
      </c>
      <c r="AI91" s="31"/>
      <c r="AJ91" s="472"/>
      <c r="AK91" s="464"/>
      <c r="AL91" s="38"/>
      <c r="AM91" s="9"/>
      <c r="AN91" s="37">
        <f>SUM(AN69:AN90)</f>
        <v>3.7342945417095783</v>
      </c>
      <c r="AO91" s="32">
        <f>SUM(AO69:AO90)</f>
        <v>1696662.1688980432</v>
      </c>
      <c r="AP91" s="31"/>
      <c r="AQ91" s="4">
        <f t="shared" si="24"/>
        <v>-1.1990408665951691E-14</v>
      </c>
    </row>
    <row r="92" spans="1:43" ht="15" thickBot="1" x14ac:dyDescent="0.25">
      <c r="A92" s="488"/>
      <c r="B92" s="464"/>
      <c r="C92" s="468" t="s">
        <v>36</v>
      </c>
      <c r="D92" s="468"/>
      <c r="E92" s="468"/>
      <c r="F92" s="468"/>
      <c r="G92" s="469"/>
      <c r="H92" s="214"/>
      <c r="I92" s="464"/>
      <c r="J92" s="470" t="s">
        <v>36</v>
      </c>
      <c r="K92" s="466"/>
      <c r="L92" s="466"/>
      <c r="M92" s="466"/>
      <c r="N92" s="467"/>
      <c r="O92" s="472"/>
      <c r="P92" s="464"/>
      <c r="Q92" s="468" t="s">
        <v>36</v>
      </c>
      <c r="R92" s="471"/>
      <c r="S92" s="471"/>
      <c r="T92" s="471"/>
      <c r="U92" s="472"/>
      <c r="V92" s="488"/>
      <c r="W92" s="464"/>
      <c r="X92" s="468" t="s">
        <v>36</v>
      </c>
      <c r="Y92" s="471"/>
      <c r="Z92" s="471"/>
      <c r="AA92" s="471"/>
      <c r="AB92" s="472"/>
      <c r="AC92" s="488"/>
      <c r="AD92" s="464"/>
      <c r="AE92" s="468" t="s">
        <v>36</v>
      </c>
      <c r="AF92" s="468"/>
      <c r="AG92" s="471"/>
      <c r="AH92" s="471"/>
      <c r="AI92" s="472"/>
      <c r="AJ92" s="488"/>
      <c r="AK92" s="464"/>
      <c r="AL92" s="468" t="s">
        <v>36</v>
      </c>
      <c r="AM92" s="468"/>
      <c r="AN92" s="471"/>
      <c r="AO92" s="471"/>
      <c r="AP92" s="472"/>
      <c r="AQ92" s="4">
        <f t="shared" si="24"/>
        <v>0</v>
      </c>
    </row>
    <row r="93" spans="1:43" ht="25.5" x14ac:dyDescent="0.2">
      <c r="A93" s="488"/>
      <c r="B93" s="465"/>
      <c r="C93" s="34" t="s">
        <v>35</v>
      </c>
      <c r="D93" s="31" t="s">
        <v>12</v>
      </c>
      <c r="E93" s="32">
        <v>1</v>
      </c>
      <c r="F93" s="32">
        <v>50000</v>
      </c>
      <c r="G93" s="31">
        <f t="shared" ref="G93:G120" si="25">E93/F93</f>
        <v>2.0000000000000002E-5</v>
      </c>
      <c r="H93" s="214"/>
      <c r="I93" s="464"/>
      <c r="J93" s="255" t="s">
        <v>35</v>
      </c>
      <c r="K93" s="128" t="s">
        <v>12</v>
      </c>
      <c r="L93" s="243">
        <f>$G$93*M93-0.1</f>
        <v>0.37167868480617539</v>
      </c>
      <c r="M93" s="244">
        <f t="shared" ref="M93:M115" si="26">$N$126/($F$121-558160)*F93</f>
        <v>23583.934240308768</v>
      </c>
      <c r="N93" s="340" t="s">
        <v>150</v>
      </c>
      <c r="O93" s="472"/>
      <c r="P93" s="465"/>
      <c r="Q93" s="34" t="s">
        <v>35</v>
      </c>
      <c r="R93" s="31" t="s">
        <v>12</v>
      </c>
      <c r="S93" s="13">
        <f>$G$93*T93+0.1</f>
        <v>0.10205973357432295</v>
      </c>
      <c r="T93" s="12">
        <f t="shared" ref="T93:T115" si="27">$U$126/($F$121-558160)*F93</f>
        <v>102.98667871614751</v>
      </c>
      <c r="U93" s="31"/>
      <c r="V93" s="488"/>
      <c r="W93" s="465"/>
      <c r="X93" s="34" t="s">
        <v>35</v>
      </c>
      <c r="Y93" s="31" t="s">
        <v>12</v>
      </c>
      <c r="Z93" s="13">
        <f>$G$93*AA93-0.1</f>
        <v>0.34799176468639736</v>
      </c>
      <c r="AA93" s="20">
        <f t="shared" ref="AA93:AA115" si="28">$AB$126/($F$121-558160)*F93</f>
        <v>22399.588234319865</v>
      </c>
      <c r="AB93" s="31"/>
      <c r="AC93" s="488"/>
      <c r="AD93" s="465"/>
      <c r="AE93" s="34" t="s">
        <v>35</v>
      </c>
      <c r="AF93" s="31" t="s">
        <v>12</v>
      </c>
      <c r="AG93" s="13">
        <f>$G$93*AH93+0.1</f>
        <v>0.10205973357432295</v>
      </c>
      <c r="AH93" s="12">
        <f t="shared" ref="AH93:AH115" si="29">$AI$126/($F$121-558160)*F93</f>
        <v>102.98667871614751</v>
      </c>
      <c r="AI93" s="31"/>
      <c r="AJ93" s="488"/>
      <c r="AK93" s="465"/>
      <c r="AL93" s="34" t="s">
        <v>35</v>
      </c>
      <c r="AM93" s="31" t="s">
        <v>12</v>
      </c>
      <c r="AN93" s="13">
        <f>$G$93*AO93</f>
        <v>7.6210092769164794E-2</v>
      </c>
      <c r="AO93" s="12">
        <f t="shared" ref="AO93:AO115" si="30">$AP$125/($F$121-558160)*F93</f>
        <v>3810.5046384582392</v>
      </c>
      <c r="AP93" s="31"/>
      <c r="AQ93" s="4">
        <f t="shared" si="24"/>
        <v>-9.4103834585856916E-9</v>
      </c>
    </row>
    <row r="94" spans="1:43" ht="25.5" x14ac:dyDescent="0.2">
      <c r="A94" s="488"/>
      <c r="B94" s="465"/>
      <c r="C94" s="34" t="s">
        <v>34</v>
      </c>
      <c r="D94" s="31" t="s">
        <v>12</v>
      </c>
      <c r="E94" s="32">
        <v>1</v>
      </c>
      <c r="F94" s="32">
        <v>9126.25</v>
      </c>
      <c r="G94" s="31">
        <f t="shared" si="25"/>
        <v>1.0957403095466375E-4</v>
      </c>
      <c r="H94" s="214"/>
      <c r="I94" s="464"/>
      <c r="J94" s="209" t="s">
        <v>34</v>
      </c>
      <c r="K94" s="31" t="s">
        <v>12</v>
      </c>
      <c r="L94" s="13">
        <f>$G$94*M94-0.1</f>
        <v>0.37167868480617539</v>
      </c>
      <c r="M94" s="12">
        <f t="shared" si="26"/>
        <v>4304.6575972123583</v>
      </c>
      <c r="N94" s="71" t="s">
        <v>150</v>
      </c>
      <c r="O94" s="472"/>
      <c r="P94" s="465"/>
      <c r="Q94" s="34" t="s">
        <v>34</v>
      </c>
      <c r="R94" s="31" t="s">
        <v>12</v>
      </c>
      <c r="S94" s="13">
        <f>$G$94*T94+0.1</f>
        <v>0.10205973357432295</v>
      </c>
      <c r="T94" s="12">
        <f t="shared" si="27"/>
        <v>18.797643532664825</v>
      </c>
      <c r="U94" s="31"/>
      <c r="V94" s="488"/>
      <c r="W94" s="465"/>
      <c r="X94" s="34" t="s">
        <v>34</v>
      </c>
      <c r="Y94" s="31" t="s">
        <v>12</v>
      </c>
      <c r="Z94" s="13">
        <f>$G$94*AA94-0.1</f>
        <v>0.34799176468639725</v>
      </c>
      <c r="AA94" s="20">
        <f t="shared" si="28"/>
        <v>4088.4848424692332</v>
      </c>
      <c r="AB94" s="31"/>
      <c r="AC94" s="488"/>
      <c r="AD94" s="465"/>
      <c r="AE94" s="34" t="s">
        <v>34</v>
      </c>
      <c r="AF94" s="31" t="s">
        <v>12</v>
      </c>
      <c r="AG94" s="13">
        <f>$G$94*AH94+0.1</f>
        <v>0.10205973357432295</v>
      </c>
      <c r="AH94" s="12">
        <f t="shared" si="29"/>
        <v>18.797643532664825</v>
      </c>
      <c r="AI94" s="31"/>
      <c r="AJ94" s="488"/>
      <c r="AK94" s="465"/>
      <c r="AL94" s="34" t="s">
        <v>34</v>
      </c>
      <c r="AM94" s="31" t="s">
        <v>12</v>
      </c>
      <c r="AN94" s="13">
        <f>$G$94*AO94</f>
        <v>7.6210092769164781E-2</v>
      </c>
      <c r="AO94" s="12">
        <f t="shared" si="30"/>
        <v>695.51235913459004</v>
      </c>
      <c r="AP94" s="31"/>
      <c r="AQ94" s="4">
        <f t="shared" si="24"/>
        <v>-9.4103833336856013E-9</v>
      </c>
    </row>
    <row r="95" spans="1:43" x14ac:dyDescent="0.2">
      <c r="A95" s="488"/>
      <c r="B95" s="465"/>
      <c r="C95" s="34" t="s">
        <v>33</v>
      </c>
      <c r="D95" s="31" t="s">
        <v>12</v>
      </c>
      <c r="E95" s="32">
        <v>1</v>
      </c>
      <c r="F95" s="32">
        <v>33053.599999999999</v>
      </c>
      <c r="G95" s="35">
        <f t="shared" si="25"/>
        <v>3.0253890650337634E-5</v>
      </c>
      <c r="H95" s="214"/>
      <c r="I95" s="464"/>
      <c r="J95" s="209" t="s">
        <v>33</v>
      </c>
      <c r="K95" s="31" t="s">
        <v>12</v>
      </c>
      <c r="L95" s="13">
        <f>$G$95*M95-0.1</f>
        <v>0.37167868480617539</v>
      </c>
      <c r="M95" s="12">
        <f t="shared" si="26"/>
        <v>15590.678576109398</v>
      </c>
      <c r="N95" s="71" t="s">
        <v>150</v>
      </c>
      <c r="O95" s="472"/>
      <c r="P95" s="465"/>
      <c r="Q95" s="34" t="s">
        <v>33</v>
      </c>
      <c r="R95" s="31" t="s">
        <v>12</v>
      </c>
      <c r="S95" s="13">
        <f>$G$95*T95+0.1</f>
        <v>0.10205973357432295</v>
      </c>
      <c r="T95" s="12">
        <f t="shared" si="27"/>
        <v>68.081609672241058</v>
      </c>
      <c r="U95" s="31"/>
      <c r="V95" s="488"/>
      <c r="W95" s="465"/>
      <c r="X95" s="34" t="s">
        <v>33</v>
      </c>
      <c r="Y95" s="31" t="s">
        <v>12</v>
      </c>
      <c r="Z95" s="13">
        <f>$G$95*AA95-0.1</f>
        <v>0.34799176468639725</v>
      </c>
      <c r="AA95" s="20">
        <f t="shared" si="28"/>
        <v>14807.740593238301</v>
      </c>
      <c r="AB95" s="31"/>
      <c r="AC95" s="488"/>
      <c r="AD95" s="465"/>
      <c r="AE95" s="34" t="s">
        <v>33</v>
      </c>
      <c r="AF95" s="31" t="s">
        <v>12</v>
      </c>
      <c r="AG95" s="13">
        <f>$G$95*AH95+0.1</f>
        <v>0.10205973357432295</v>
      </c>
      <c r="AH95" s="12">
        <f t="shared" si="29"/>
        <v>68.081609672241058</v>
      </c>
      <c r="AI95" s="31"/>
      <c r="AJ95" s="488"/>
      <c r="AK95" s="465"/>
      <c r="AL95" s="34" t="s">
        <v>33</v>
      </c>
      <c r="AM95" s="31" t="s">
        <v>12</v>
      </c>
      <c r="AN95" s="13">
        <f>$G$95*AO95</f>
        <v>7.6210092769164781E-2</v>
      </c>
      <c r="AO95" s="12">
        <f t="shared" si="30"/>
        <v>2519.0179223548648</v>
      </c>
      <c r="AP95" s="31"/>
      <c r="AQ95" s="4">
        <f t="shared" si="24"/>
        <v>-9.4103833336856013E-9</v>
      </c>
    </row>
    <row r="96" spans="1:43" x14ac:dyDescent="0.2">
      <c r="A96" s="488"/>
      <c r="B96" s="465"/>
      <c r="C96" s="34" t="s">
        <v>32</v>
      </c>
      <c r="D96" s="31" t="s">
        <v>12</v>
      </c>
      <c r="E96" s="32">
        <v>1</v>
      </c>
      <c r="F96" s="32">
        <v>5736.5</v>
      </c>
      <c r="G96" s="35">
        <f t="shared" si="25"/>
        <v>1.743223219733287E-4</v>
      </c>
      <c r="H96" s="214"/>
      <c r="I96" s="464"/>
      <c r="J96" s="209" t="s">
        <v>32</v>
      </c>
      <c r="K96" s="31" t="s">
        <v>12</v>
      </c>
      <c r="L96" s="13">
        <f>$G$96*M96-0.1</f>
        <v>0.37167868480617539</v>
      </c>
      <c r="M96" s="12">
        <f t="shared" si="26"/>
        <v>2705.7847753906249</v>
      </c>
      <c r="N96" s="71" t="s">
        <v>150</v>
      </c>
      <c r="O96" s="472"/>
      <c r="P96" s="465"/>
      <c r="Q96" s="34" t="s">
        <v>32</v>
      </c>
      <c r="R96" s="31" t="s">
        <v>12</v>
      </c>
      <c r="S96" s="13">
        <f>$G$96*T96+0.1</f>
        <v>0.10205973357432295</v>
      </c>
      <c r="T96" s="12">
        <f t="shared" si="27"/>
        <v>11.815661649103603</v>
      </c>
      <c r="U96" s="31"/>
      <c r="V96" s="488"/>
      <c r="W96" s="465"/>
      <c r="X96" s="34" t="s">
        <v>32</v>
      </c>
      <c r="Y96" s="31" t="s">
        <v>12</v>
      </c>
      <c r="Z96" s="13">
        <f>$G$96*AA96-0.1</f>
        <v>0.34799176468639736</v>
      </c>
      <c r="AA96" s="20">
        <f t="shared" si="28"/>
        <v>2569.9047581235181</v>
      </c>
      <c r="AB96" s="31"/>
      <c r="AC96" s="488"/>
      <c r="AD96" s="465"/>
      <c r="AE96" s="34" t="s">
        <v>32</v>
      </c>
      <c r="AF96" s="31" t="s">
        <v>12</v>
      </c>
      <c r="AG96" s="13">
        <f>$G$96*AH96+0.1</f>
        <v>0.10205973357432295</v>
      </c>
      <c r="AH96" s="12">
        <f t="shared" si="29"/>
        <v>11.815661649103603</v>
      </c>
      <c r="AI96" s="31"/>
      <c r="AJ96" s="488"/>
      <c r="AK96" s="465"/>
      <c r="AL96" s="34" t="s">
        <v>32</v>
      </c>
      <c r="AM96" s="31" t="s">
        <v>12</v>
      </c>
      <c r="AN96" s="13">
        <f>$G$96*AO96</f>
        <v>7.6210092769164794E-2</v>
      </c>
      <c r="AO96" s="12">
        <f t="shared" si="30"/>
        <v>437.17919717031378</v>
      </c>
      <c r="AP96" s="31"/>
      <c r="AQ96" s="4">
        <f t="shared" si="24"/>
        <v>-9.4103834585856916E-9</v>
      </c>
    </row>
    <row r="97" spans="1:43" ht="25.5" x14ac:dyDescent="0.2">
      <c r="A97" s="488"/>
      <c r="B97" s="465"/>
      <c r="C97" s="34" t="s">
        <v>31</v>
      </c>
      <c r="D97" s="31" t="s">
        <v>12</v>
      </c>
      <c r="E97" s="32">
        <v>1</v>
      </c>
      <c r="F97" s="32">
        <v>62315</v>
      </c>
      <c r="G97" s="35">
        <f t="shared" si="25"/>
        <v>1.6047500601781271E-5</v>
      </c>
      <c r="H97" s="214"/>
      <c r="I97" s="464"/>
      <c r="J97" s="209" t="s">
        <v>31</v>
      </c>
      <c r="K97" s="31" t="s">
        <v>12</v>
      </c>
      <c r="L97" s="13">
        <f>$G$97*M97-0.1</f>
        <v>0.37167868480617527</v>
      </c>
      <c r="M97" s="12">
        <f t="shared" si="26"/>
        <v>29392.657243696816</v>
      </c>
      <c r="N97" s="71" t="s">
        <v>150</v>
      </c>
      <c r="O97" s="472"/>
      <c r="P97" s="465"/>
      <c r="Q97" s="34" t="s">
        <v>31</v>
      </c>
      <c r="R97" s="31" t="s">
        <v>12</v>
      </c>
      <c r="S97" s="13">
        <f>$G$97*T97+0.1</f>
        <v>0.10205973357432295</v>
      </c>
      <c r="T97" s="12">
        <f t="shared" si="27"/>
        <v>128.35229768393464</v>
      </c>
      <c r="U97" s="31"/>
      <c r="V97" s="488"/>
      <c r="W97" s="465"/>
      <c r="X97" s="34" t="s">
        <v>31</v>
      </c>
      <c r="Y97" s="31" t="s">
        <v>12</v>
      </c>
      <c r="Z97" s="13">
        <f>$G$97*AA97-0.1</f>
        <v>0.34799176468639725</v>
      </c>
      <c r="AA97" s="20">
        <f t="shared" si="28"/>
        <v>27916.606816432846</v>
      </c>
      <c r="AB97" s="31"/>
      <c r="AC97" s="488"/>
      <c r="AD97" s="465"/>
      <c r="AE97" s="34" t="s">
        <v>31</v>
      </c>
      <c r="AF97" s="31" t="s">
        <v>12</v>
      </c>
      <c r="AG97" s="13">
        <f>$G$97*AH97+0.1</f>
        <v>0.10205973357432295</v>
      </c>
      <c r="AH97" s="12">
        <f t="shared" si="29"/>
        <v>128.35229768393464</v>
      </c>
      <c r="AI97" s="31"/>
      <c r="AJ97" s="488"/>
      <c r="AK97" s="465"/>
      <c r="AL97" s="34" t="s">
        <v>31</v>
      </c>
      <c r="AM97" s="31" t="s">
        <v>12</v>
      </c>
      <c r="AN97" s="13">
        <f>$G$97*AO97</f>
        <v>7.6210092769164781E-2</v>
      </c>
      <c r="AO97" s="12">
        <f t="shared" si="30"/>
        <v>4749.0319309105034</v>
      </c>
      <c r="AP97" s="31"/>
      <c r="AQ97" s="4">
        <f t="shared" si="24"/>
        <v>-9.4103832226632989E-9</v>
      </c>
    </row>
    <row r="98" spans="1:43" ht="25.5" x14ac:dyDescent="0.2">
      <c r="A98" s="488"/>
      <c r="B98" s="465"/>
      <c r="C98" s="34" t="s">
        <v>30</v>
      </c>
      <c r="D98" s="31" t="s">
        <v>12</v>
      </c>
      <c r="E98" s="32">
        <v>1</v>
      </c>
      <c r="F98" s="32">
        <v>68806.719999999987</v>
      </c>
      <c r="G98" s="35">
        <f t="shared" si="25"/>
        <v>1.45334641732668E-5</v>
      </c>
      <c r="H98" s="214"/>
      <c r="I98" s="464"/>
      <c r="J98" s="209" t="s">
        <v>30</v>
      </c>
      <c r="K98" s="31" t="s">
        <v>12</v>
      </c>
      <c r="L98" s="13">
        <f>$G$98*M98-0.1</f>
        <v>0.37167868480617539</v>
      </c>
      <c r="M98" s="12">
        <f t="shared" si="26"/>
        <v>32454.663195426758</v>
      </c>
      <c r="N98" s="71" t="s">
        <v>150</v>
      </c>
      <c r="O98" s="472"/>
      <c r="P98" s="465"/>
      <c r="Q98" s="34" t="s">
        <v>30</v>
      </c>
      <c r="R98" s="31" t="s">
        <v>12</v>
      </c>
      <c r="S98" s="13">
        <f>$G$98*T98+0.1</f>
        <v>0.10205973357432295</v>
      </c>
      <c r="T98" s="12">
        <f t="shared" si="27"/>
        <v>141.72351132303839</v>
      </c>
      <c r="U98" s="31"/>
      <c r="V98" s="488"/>
      <c r="W98" s="465"/>
      <c r="X98" s="34" t="s">
        <v>30</v>
      </c>
      <c r="Y98" s="31" t="s">
        <v>12</v>
      </c>
      <c r="Z98" s="13">
        <f>$G$98*AA98-0.1</f>
        <v>0.34799176468639725</v>
      </c>
      <c r="AA98" s="20">
        <f t="shared" si="28"/>
        <v>30824.84391508282</v>
      </c>
      <c r="AB98" s="31"/>
      <c r="AC98" s="488"/>
      <c r="AD98" s="465"/>
      <c r="AE98" s="34" t="s">
        <v>30</v>
      </c>
      <c r="AF98" s="31" t="s">
        <v>12</v>
      </c>
      <c r="AG98" s="13">
        <f>$G$98*AH98+0.1</f>
        <v>0.10205973357432295</v>
      </c>
      <c r="AH98" s="12">
        <f t="shared" si="29"/>
        <v>141.72351132303839</v>
      </c>
      <c r="AI98" s="31"/>
      <c r="AJ98" s="488"/>
      <c r="AK98" s="465"/>
      <c r="AL98" s="34" t="s">
        <v>30</v>
      </c>
      <c r="AM98" s="31" t="s">
        <v>12</v>
      </c>
      <c r="AN98" s="13">
        <f>$G$98*AO98</f>
        <v>7.6210092769164781E-2</v>
      </c>
      <c r="AO98" s="12">
        <f t="shared" si="30"/>
        <v>5243.7665143419445</v>
      </c>
      <c r="AP98" s="31"/>
      <c r="AQ98" s="4">
        <f t="shared" si="24"/>
        <v>-9.4103833336856013E-9</v>
      </c>
    </row>
    <row r="99" spans="1:43" ht="25.5" x14ac:dyDescent="0.2">
      <c r="A99" s="488"/>
      <c r="B99" s="465"/>
      <c r="C99" s="34" t="s">
        <v>29</v>
      </c>
      <c r="D99" s="31" t="s">
        <v>12</v>
      </c>
      <c r="E99" s="32">
        <v>1</v>
      </c>
      <c r="F99" s="32">
        <v>17716.397999999997</v>
      </c>
      <c r="G99" s="35">
        <f t="shared" si="25"/>
        <v>5.644488230621146E-5</v>
      </c>
      <c r="H99" s="214"/>
      <c r="I99" s="464"/>
      <c r="J99" s="209" t="s">
        <v>29</v>
      </c>
      <c r="K99" s="31" t="s">
        <v>12</v>
      </c>
      <c r="L99" s="13">
        <f>$G$99*M99-0.1</f>
        <v>0.37167868480617539</v>
      </c>
      <c r="M99" s="12">
        <f t="shared" si="26"/>
        <v>8356.447308142755</v>
      </c>
      <c r="N99" s="71" t="s">
        <v>150</v>
      </c>
      <c r="O99" s="472"/>
      <c r="P99" s="465"/>
      <c r="Q99" s="34" t="s">
        <v>29</v>
      </c>
      <c r="R99" s="31" t="s">
        <v>12</v>
      </c>
      <c r="S99" s="13">
        <f>$G$99*T99+0.1</f>
        <v>0.10205973357432295</v>
      </c>
      <c r="T99" s="12">
        <f t="shared" si="27"/>
        <v>36.49105977666796</v>
      </c>
      <c r="U99" s="31"/>
      <c r="V99" s="488"/>
      <c r="W99" s="465"/>
      <c r="X99" s="34" t="s">
        <v>29</v>
      </c>
      <c r="Y99" s="31" t="s">
        <v>12</v>
      </c>
      <c r="Z99" s="13">
        <f>$G$99*AA99-0.1</f>
        <v>0.34799176468639725</v>
      </c>
      <c r="AA99" s="20">
        <f t="shared" si="28"/>
        <v>7936.8004039065581</v>
      </c>
      <c r="AB99" s="31"/>
      <c r="AC99" s="488"/>
      <c r="AD99" s="465"/>
      <c r="AE99" s="34" t="s">
        <v>29</v>
      </c>
      <c r="AF99" s="31" t="s">
        <v>12</v>
      </c>
      <c r="AG99" s="13">
        <f>$G$99*AH99+0.1</f>
        <v>0.10205973357432295</v>
      </c>
      <c r="AH99" s="12">
        <f t="shared" si="29"/>
        <v>36.49105977666796</v>
      </c>
      <c r="AI99" s="31"/>
      <c r="AJ99" s="488"/>
      <c r="AK99" s="465"/>
      <c r="AL99" s="34" t="s">
        <v>29</v>
      </c>
      <c r="AM99" s="31" t="s">
        <v>12</v>
      </c>
      <c r="AN99" s="13">
        <f>$G$99*AO99</f>
        <v>7.6210092769164781E-2</v>
      </c>
      <c r="AO99" s="12">
        <f t="shared" si="30"/>
        <v>1350.1683351154452</v>
      </c>
      <c r="AP99" s="31"/>
      <c r="AQ99" s="4">
        <f t="shared" si="24"/>
        <v>-9.4103833336856013E-9</v>
      </c>
    </row>
    <row r="100" spans="1:43" x14ac:dyDescent="0.2">
      <c r="A100" s="488"/>
      <c r="B100" s="465"/>
      <c r="C100" s="34" t="s">
        <v>28</v>
      </c>
      <c r="D100" s="31" t="s">
        <v>12</v>
      </c>
      <c r="E100" s="32">
        <v>1</v>
      </c>
      <c r="F100" s="32">
        <v>40856.213474999997</v>
      </c>
      <c r="G100" s="35">
        <f t="shared" si="25"/>
        <v>2.447608123576851E-5</v>
      </c>
      <c r="H100" s="214"/>
      <c r="I100" s="464"/>
      <c r="J100" s="209" t="s">
        <v>28</v>
      </c>
      <c r="K100" s="31" t="s">
        <v>12</v>
      </c>
      <c r="L100" s="13">
        <f>$G$100*M100-0.1</f>
        <v>0.37167868480617527</v>
      </c>
      <c r="M100" s="12">
        <f t="shared" si="26"/>
        <v>19271.005038048337</v>
      </c>
      <c r="N100" s="71" t="s">
        <v>150</v>
      </c>
      <c r="O100" s="472"/>
      <c r="P100" s="465"/>
      <c r="Q100" s="34" t="s">
        <v>28</v>
      </c>
      <c r="R100" s="31" t="s">
        <v>12</v>
      </c>
      <c r="S100" s="13">
        <f>$G$100*T100+0.1</f>
        <v>0.10205973357432295</v>
      </c>
      <c r="T100" s="12">
        <f t="shared" si="27"/>
        <v>84.152914614163222</v>
      </c>
      <c r="U100" s="31"/>
      <c r="V100" s="488"/>
      <c r="W100" s="465"/>
      <c r="X100" s="34" t="s">
        <v>28</v>
      </c>
      <c r="Y100" s="31" t="s">
        <v>12</v>
      </c>
      <c r="Z100" s="13">
        <f>$G$100*AA100-0.1</f>
        <v>0.34799176468639725</v>
      </c>
      <c r="AA100" s="20">
        <f t="shared" si="28"/>
        <v>18303.247173069412</v>
      </c>
      <c r="AB100" s="31"/>
      <c r="AC100" s="488"/>
      <c r="AD100" s="465"/>
      <c r="AE100" s="34" t="s">
        <v>28</v>
      </c>
      <c r="AF100" s="31" t="s">
        <v>12</v>
      </c>
      <c r="AG100" s="13">
        <f>$G$100*AH100+0.1</f>
        <v>0.10205973357432295</v>
      </c>
      <c r="AH100" s="12">
        <f t="shared" si="29"/>
        <v>84.152914614163222</v>
      </c>
      <c r="AI100" s="31"/>
      <c r="AJ100" s="488"/>
      <c r="AK100" s="465"/>
      <c r="AL100" s="34" t="s">
        <v>28</v>
      </c>
      <c r="AM100" s="31" t="s">
        <v>12</v>
      </c>
      <c r="AN100" s="13">
        <f>$G$100*AO100</f>
        <v>7.6210092769164781E-2</v>
      </c>
      <c r="AO100" s="12">
        <f t="shared" si="30"/>
        <v>3113.6558191265499</v>
      </c>
      <c r="AP100" s="31"/>
      <c r="AQ100" s="4">
        <f t="shared" si="24"/>
        <v>-9.4103832226632989E-9</v>
      </c>
    </row>
    <row r="101" spans="1:43" ht="25.5" x14ac:dyDescent="0.2">
      <c r="A101" s="488"/>
      <c r="B101" s="465"/>
      <c r="C101" s="34" t="s">
        <v>27</v>
      </c>
      <c r="D101" s="31" t="s">
        <v>12</v>
      </c>
      <c r="E101" s="32">
        <v>1</v>
      </c>
      <c r="F101" s="32">
        <v>50000</v>
      </c>
      <c r="G101" s="31">
        <f t="shared" si="25"/>
        <v>2.0000000000000002E-5</v>
      </c>
      <c r="H101" s="214"/>
      <c r="I101" s="464"/>
      <c r="J101" s="209" t="s">
        <v>27</v>
      </c>
      <c r="K101" s="31" t="s">
        <v>12</v>
      </c>
      <c r="L101" s="13">
        <f>$G$101*M101-0.1</f>
        <v>0.37167868480617539</v>
      </c>
      <c r="M101" s="12">
        <f t="shared" si="26"/>
        <v>23583.934240308768</v>
      </c>
      <c r="N101" s="71" t="s">
        <v>150</v>
      </c>
      <c r="O101" s="472"/>
      <c r="P101" s="465"/>
      <c r="Q101" s="34" t="s">
        <v>27</v>
      </c>
      <c r="R101" s="31" t="s">
        <v>12</v>
      </c>
      <c r="S101" s="13">
        <f>$G$101*T101+0.1</f>
        <v>0.10205973357432295</v>
      </c>
      <c r="T101" s="12">
        <f t="shared" si="27"/>
        <v>102.98667871614751</v>
      </c>
      <c r="U101" s="31"/>
      <c r="V101" s="488"/>
      <c r="W101" s="465"/>
      <c r="X101" s="34" t="s">
        <v>27</v>
      </c>
      <c r="Y101" s="31" t="s">
        <v>12</v>
      </c>
      <c r="Z101" s="13">
        <f>$G$101*AA101-0.1</f>
        <v>0.34799176468639736</v>
      </c>
      <c r="AA101" s="20">
        <f t="shared" si="28"/>
        <v>22399.588234319865</v>
      </c>
      <c r="AB101" s="31"/>
      <c r="AC101" s="488"/>
      <c r="AD101" s="465"/>
      <c r="AE101" s="34" t="s">
        <v>27</v>
      </c>
      <c r="AF101" s="31" t="s">
        <v>12</v>
      </c>
      <c r="AG101" s="13">
        <f>$G$101*AH101+0.1</f>
        <v>0.10205973357432295</v>
      </c>
      <c r="AH101" s="12">
        <f t="shared" si="29"/>
        <v>102.98667871614751</v>
      </c>
      <c r="AI101" s="31"/>
      <c r="AJ101" s="488"/>
      <c r="AK101" s="465"/>
      <c r="AL101" s="34" t="s">
        <v>27</v>
      </c>
      <c r="AM101" s="31" t="s">
        <v>12</v>
      </c>
      <c r="AN101" s="13">
        <f>$G$101*AO101</f>
        <v>7.6210092769164794E-2</v>
      </c>
      <c r="AO101" s="12">
        <f t="shared" si="30"/>
        <v>3810.5046384582392</v>
      </c>
      <c r="AP101" s="31"/>
      <c r="AQ101" s="4">
        <f t="shared" si="24"/>
        <v>-9.4103834585856916E-9</v>
      </c>
    </row>
    <row r="102" spans="1:43" ht="38.25" x14ac:dyDescent="0.2">
      <c r="A102" s="488"/>
      <c r="B102" s="465"/>
      <c r="C102" s="34" t="s">
        <v>26</v>
      </c>
      <c r="D102" s="31" t="s">
        <v>3</v>
      </c>
      <c r="E102" s="32">
        <v>125</v>
      </c>
      <c r="F102" s="32">
        <v>400000</v>
      </c>
      <c r="G102" s="31">
        <f t="shared" si="25"/>
        <v>3.1250000000000001E-4</v>
      </c>
      <c r="H102" s="214"/>
      <c r="I102" s="464"/>
      <c r="J102" s="209" t="s">
        <v>26</v>
      </c>
      <c r="K102" s="31" t="s">
        <v>3</v>
      </c>
      <c r="L102" s="13">
        <f>$G$102*M102</f>
        <v>58.959835600771925</v>
      </c>
      <c r="M102" s="12">
        <f t="shared" si="26"/>
        <v>188671.47392247015</v>
      </c>
      <c r="N102" s="71" t="s">
        <v>150</v>
      </c>
      <c r="O102" s="472"/>
      <c r="P102" s="465"/>
      <c r="Q102" s="34" t="s">
        <v>26</v>
      </c>
      <c r="R102" s="31" t="s">
        <v>3</v>
      </c>
      <c r="S102" s="13">
        <f>$G$102*T102</f>
        <v>0.25746669679036877</v>
      </c>
      <c r="T102" s="12">
        <f t="shared" si="27"/>
        <v>823.89342972918007</v>
      </c>
      <c r="U102" s="31"/>
      <c r="V102" s="488"/>
      <c r="W102" s="465"/>
      <c r="X102" s="34" t="s">
        <v>26</v>
      </c>
      <c r="Y102" s="31" t="s">
        <v>3</v>
      </c>
      <c r="Z102" s="13">
        <f>$G$102*AA102</f>
        <v>55.998970585799661</v>
      </c>
      <c r="AA102" s="20">
        <f t="shared" si="28"/>
        <v>179196.70587455892</v>
      </c>
      <c r="AB102" s="31"/>
      <c r="AC102" s="488"/>
      <c r="AD102" s="465"/>
      <c r="AE102" s="34" t="s">
        <v>26</v>
      </c>
      <c r="AF102" s="31" t="s">
        <v>3</v>
      </c>
      <c r="AG102" s="13">
        <f>$G$102*AH102</f>
        <v>0.25746669679036877</v>
      </c>
      <c r="AH102" s="12">
        <f t="shared" si="29"/>
        <v>823.89342972918007</v>
      </c>
      <c r="AI102" s="31"/>
      <c r="AJ102" s="488"/>
      <c r="AK102" s="465"/>
      <c r="AL102" s="34" t="s">
        <v>26</v>
      </c>
      <c r="AM102" s="31" t="s">
        <v>3</v>
      </c>
      <c r="AN102" s="13">
        <f>$G$102*AO102</f>
        <v>9.5262615961455985</v>
      </c>
      <c r="AO102" s="12">
        <f t="shared" si="30"/>
        <v>30484.037107665914</v>
      </c>
      <c r="AP102" s="31"/>
      <c r="AQ102" s="4">
        <f t="shared" si="24"/>
        <v>-1.1762979266194407E-6</v>
      </c>
    </row>
    <row r="103" spans="1:43" ht="54.75" customHeight="1" x14ac:dyDescent="0.2">
      <c r="A103" s="488"/>
      <c r="B103" s="465"/>
      <c r="C103" s="34" t="s">
        <v>25</v>
      </c>
      <c r="D103" s="31" t="s">
        <v>3</v>
      </c>
      <c r="E103" s="32">
        <v>90</v>
      </c>
      <c r="F103" s="32">
        <v>135000</v>
      </c>
      <c r="G103" s="31">
        <f t="shared" si="25"/>
        <v>6.6666666666666664E-4</v>
      </c>
      <c r="H103" s="214"/>
      <c r="I103" s="464"/>
      <c r="J103" s="209" t="s">
        <v>25</v>
      </c>
      <c r="K103" s="31" t="s">
        <v>3</v>
      </c>
      <c r="L103" s="13">
        <f>$G$103*M103</f>
        <v>42.451081632555784</v>
      </c>
      <c r="M103" s="12">
        <f t="shared" si="26"/>
        <v>63676.622448833674</v>
      </c>
      <c r="N103" s="71" t="s">
        <v>150</v>
      </c>
      <c r="O103" s="472"/>
      <c r="P103" s="465"/>
      <c r="Q103" s="34" t="s">
        <v>25</v>
      </c>
      <c r="R103" s="31" t="s">
        <v>3</v>
      </c>
      <c r="S103" s="13">
        <f>$G$103*T103</f>
        <v>0.1853760216890655</v>
      </c>
      <c r="T103" s="12">
        <f t="shared" si="27"/>
        <v>278.06403253359827</v>
      </c>
      <c r="U103" s="31"/>
      <c r="V103" s="488"/>
      <c r="W103" s="465"/>
      <c r="X103" s="34" t="s">
        <v>25</v>
      </c>
      <c r="Y103" s="31" t="s">
        <v>3</v>
      </c>
      <c r="Z103" s="13">
        <f>$G$103*AA103</f>
        <v>40.319258821775755</v>
      </c>
      <c r="AA103" s="20">
        <f t="shared" si="28"/>
        <v>60478.88823266363</v>
      </c>
      <c r="AB103" s="31"/>
      <c r="AC103" s="488"/>
      <c r="AD103" s="465"/>
      <c r="AE103" s="34" t="s">
        <v>25</v>
      </c>
      <c r="AF103" s="31" t="s">
        <v>3</v>
      </c>
      <c r="AG103" s="13">
        <f>$G$103*AH103</f>
        <v>0.1853760216890655</v>
      </c>
      <c r="AH103" s="12">
        <f t="shared" si="29"/>
        <v>278.06403253359827</v>
      </c>
      <c r="AI103" s="31"/>
      <c r="AJ103" s="488"/>
      <c r="AK103" s="465"/>
      <c r="AL103" s="34" t="s">
        <v>25</v>
      </c>
      <c r="AM103" s="31" t="s">
        <v>3</v>
      </c>
      <c r="AN103" s="13">
        <f>$G$103*AO103</f>
        <v>6.8589083492248308</v>
      </c>
      <c r="AO103" s="12">
        <f t="shared" si="30"/>
        <v>10288.362523837246</v>
      </c>
      <c r="AP103" s="31"/>
      <c r="AQ103" s="4">
        <f t="shared" si="24"/>
        <v>-8.4693450119743829E-7</v>
      </c>
    </row>
    <row r="104" spans="1:43" ht="51" x14ac:dyDescent="0.2">
      <c r="A104" s="488"/>
      <c r="B104" s="465"/>
      <c r="C104" s="34" t="s">
        <v>24</v>
      </c>
      <c r="D104" s="31" t="s">
        <v>3</v>
      </c>
      <c r="E104" s="32">
        <v>55</v>
      </c>
      <c r="F104" s="32">
        <v>30000</v>
      </c>
      <c r="G104" s="31">
        <f t="shared" si="25"/>
        <v>1.8333333333333333E-3</v>
      </c>
      <c r="H104" s="214"/>
      <c r="I104" s="464"/>
      <c r="J104" s="209" t="s">
        <v>24</v>
      </c>
      <c r="K104" s="31" t="s">
        <v>3</v>
      </c>
      <c r="L104" s="13">
        <f>$G$104*M104</f>
        <v>25.942327664339647</v>
      </c>
      <c r="M104" s="12">
        <f t="shared" si="26"/>
        <v>14150.360544185261</v>
      </c>
      <c r="N104" s="71" t="s">
        <v>150</v>
      </c>
      <c r="O104" s="472"/>
      <c r="P104" s="465"/>
      <c r="Q104" s="34" t="s">
        <v>24</v>
      </c>
      <c r="R104" s="31" t="s">
        <v>3</v>
      </c>
      <c r="S104" s="13">
        <f>$G$104*T104</f>
        <v>0.11328534658776225</v>
      </c>
      <c r="T104" s="12">
        <f t="shared" si="27"/>
        <v>61.792007229688501</v>
      </c>
      <c r="U104" s="31"/>
      <c r="V104" s="488"/>
      <c r="W104" s="465"/>
      <c r="X104" s="34" t="s">
        <v>24</v>
      </c>
      <c r="Y104" s="31" t="s">
        <v>3</v>
      </c>
      <c r="Z104" s="13">
        <f>$G$104*AA104</f>
        <v>24.639547057751852</v>
      </c>
      <c r="AA104" s="20">
        <f t="shared" si="28"/>
        <v>13439.752940591919</v>
      </c>
      <c r="AB104" s="31"/>
      <c r="AC104" s="488"/>
      <c r="AD104" s="465"/>
      <c r="AE104" s="34" t="s">
        <v>24</v>
      </c>
      <c r="AF104" s="31" t="s">
        <v>3</v>
      </c>
      <c r="AG104" s="13">
        <f>$G$104*AH104</f>
        <v>0.11328534658776225</v>
      </c>
      <c r="AH104" s="12">
        <f t="shared" si="29"/>
        <v>61.792007229688501</v>
      </c>
      <c r="AI104" s="31"/>
      <c r="AJ104" s="488"/>
      <c r="AK104" s="465"/>
      <c r="AL104" s="34" t="s">
        <v>24</v>
      </c>
      <c r="AM104" s="31" t="s">
        <v>3</v>
      </c>
      <c r="AN104" s="13">
        <f>$G$104*AO104</f>
        <v>4.1915551023040631</v>
      </c>
      <c r="AO104" s="12">
        <f t="shared" si="30"/>
        <v>2286.3027830749434</v>
      </c>
      <c r="AP104" s="31"/>
      <c r="AQ104" s="4">
        <f t="shared" si="24"/>
        <v>-5.1757108643357697E-7</v>
      </c>
    </row>
    <row r="105" spans="1:43" ht="38.25" x14ac:dyDescent="0.2">
      <c r="A105" s="488"/>
      <c r="B105" s="465"/>
      <c r="C105" s="34" t="s">
        <v>23</v>
      </c>
      <c r="D105" s="31" t="s">
        <v>3</v>
      </c>
      <c r="E105" s="32">
        <v>18</v>
      </c>
      <c r="F105" s="32">
        <v>40000</v>
      </c>
      <c r="G105" s="31">
        <f t="shared" si="25"/>
        <v>4.4999999999999999E-4</v>
      </c>
      <c r="H105" s="214"/>
      <c r="I105" s="464"/>
      <c r="J105" s="209" t="s">
        <v>23</v>
      </c>
      <c r="K105" s="31" t="s">
        <v>3</v>
      </c>
      <c r="L105" s="13">
        <f>$G$105*M105-0.1</f>
        <v>8.3902163265111565</v>
      </c>
      <c r="M105" s="12">
        <f t="shared" si="26"/>
        <v>18867.147392247014</v>
      </c>
      <c r="N105" s="71" t="s">
        <v>150</v>
      </c>
      <c r="O105" s="472"/>
      <c r="P105" s="465"/>
      <c r="Q105" s="34" t="s">
        <v>23</v>
      </c>
      <c r="R105" s="31" t="s">
        <v>3</v>
      </c>
      <c r="S105" s="13">
        <f>$G$105*T105+0.1</f>
        <v>0.13707520433781312</v>
      </c>
      <c r="T105" s="12">
        <f t="shared" si="27"/>
        <v>82.389342972918001</v>
      </c>
      <c r="U105" s="31"/>
      <c r="V105" s="488"/>
      <c r="W105" s="465"/>
      <c r="X105" s="34" t="s">
        <v>23</v>
      </c>
      <c r="Y105" s="31" t="s">
        <v>3</v>
      </c>
      <c r="Z105" s="13">
        <f>$G$105*AA105-0.1</f>
        <v>7.9638517643551499</v>
      </c>
      <c r="AA105" s="20">
        <f t="shared" si="28"/>
        <v>17919.67058745589</v>
      </c>
      <c r="AB105" s="31"/>
      <c r="AC105" s="488"/>
      <c r="AD105" s="465"/>
      <c r="AE105" s="34" t="s">
        <v>23</v>
      </c>
      <c r="AF105" s="31" t="s">
        <v>3</v>
      </c>
      <c r="AG105" s="13">
        <f>$G$105*AH105+0.1</f>
        <v>0.13707520433781312</v>
      </c>
      <c r="AH105" s="12">
        <f t="shared" si="29"/>
        <v>82.389342972918001</v>
      </c>
      <c r="AI105" s="31"/>
      <c r="AJ105" s="488"/>
      <c r="AK105" s="465"/>
      <c r="AL105" s="34" t="s">
        <v>23</v>
      </c>
      <c r="AM105" s="31" t="s">
        <v>3</v>
      </c>
      <c r="AN105" s="13">
        <f>$G$105*AO105</f>
        <v>1.3717816698449661</v>
      </c>
      <c r="AO105" s="12">
        <f t="shared" si="30"/>
        <v>3048.4037107665913</v>
      </c>
      <c r="AP105" s="31"/>
      <c r="AQ105" s="4">
        <f t="shared" si="24"/>
        <v>-1.6938689917367356E-7</v>
      </c>
    </row>
    <row r="106" spans="1:43" ht="90.75" customHeight="1" x14ac:dyDescent="0.2">
      <c r="A106" s="488"/>
      <c r="B106" s="465"/>
      <c r="C106" s="34" t="s">
        <v>22</v>
      </c>
      <c r="D106" s="31" t="s">
        <v>12</v>
      </c>
      <c r="E106" s="32">
        <v>1</v>
      </c>
      <c r="F106" s="32">
        <v>68296.320000000007</v>
      </c>
      <c r="G106" s="35">
        <f t="shared" si="25"/>
        <v>1.4642077347652112E-5</v>
      </c>
      <c r="H106" s="214"/>
      <c r="I106" s="464"/>
      <c r="J106" s="209" t="s">
        <v>22</v>
      </c>
      <c r="K106" s="31" t="s">
        <v>12</v>
      </c>
      <c r="L106" s="13">
        <f>$G$106*M106-0.1</f>
        <v>0.37167868480617539</v>
      </c>
      <c r="M106" s="12">
        <f t="shared" si="26"/>
        <v>32213.918394701694</v>
      </c>
      <c r="N106" s="71" t="s">
        <v>150</v>
      </c>
      <c r="O106" s="472"/>
      <c r="P106" s="465"/>
      <c r="Q106" s="34" t="s">
        <v>22</v>
      </c>
      <c r="R106" s="31" t="s">
        <v>12</v>
      </c>
      <c r="S106" s="13">
        <f>$G$106*T106+0.1</f>
        <v>0.10205973357432295</v>
      </c>
      <c r="T106" s="12">
        <f t="shared" si="27"/>
        <v>140.67222330670398</v>
      </c>
      <c r="U106" s="31"/>
      <c r="V106" s="488"/>
      <c r="W106" s="465"/>
      <c r="X106" s="34" t="s">
        <v>22</v>
      </c>
      <c r="Y106" s="31" t="s">
        <v>12</v>
      </c>
      <c r="Z106" s="13">
        <f>$G$106*AA106-0.1</f>
        <v>0.34799176468639725</v>
      </c>
      <c r="AA106" s="20">
        <f t="shared" si="28"/>
        <v>30596.188918386892</v>
      </c>
      <c r="AB106" s="31"/>
      <c r="AC106" s="488"/>
      <c r="AD106" s="465"/>
      <c r="AE106" s="34" t="s">
        <v>22</v>
      </c>
      <c r="AF106" s="31" t="s">
        <v>12</v>
      </c>
      <c r="AG106" s="13">
        <f>$G$106*AH106+0.1</f>
        <v>0.10205973357432295</v>
      </c>
      <c r="AH106" s="12">
        <f t="shared" si="29"/>
        <v>140.67222330670398</v>
      </c>
      <c r="AI106" s="31"/>
      <c r="AJ106" s="488"/>
      <c r="AK106" s="465"/>
      <c r="AL106" s="34" t="s">
        <v>22</v>
      </c>
      <c r="AM106" s="31" t="s">
        <v>12</v>
      </c>
      <c r="AN106" s="13">
        <f>$G$106*AO106</f>
        <v>7.6210092769164781E-2</v>
      </c>
      <c r="AO106" s="12">
        <f t="shared" si="30"/>
        <v>5204.8688829925641</v>
      </c>
      <c r="AP106" s="31"/>
      <c r="AQ106" s="4">
        <f t="shared" si="24"/>
        <v>-9.4103833336856013E-9</v>
      </c>
    </row>
    <row r="107" spans="1:43" ht="25.5" x14ac:dyDescent="0.2">
      <c r="A107" s="488"/>
      <c r="B107" s="465"/>
      <c r="C107" s="34" t="s">
        <v>21</v>
      </c>
      <c r="D107" s="31" t="s">
        <v>20</v>
      </c>
      <c r="E107" s="32">
        <v>3.54</v>
      </c>
      <c r="F107" s="32">
        <f>25350-494</f>
        <v>24856</v>
      </c>
      <c r="G107" s="31">
        <f t="shared" si="25"/>
        <v>1.4242034116511104E-4</v>
      </c>
      <c r="H107" s="214"/>
      <c r="I107" s="464"/>
      <c r="J107" s="209" t="s">
        <v>21</v>
      </c>
      <c r="K107" s="31" t="s">
        <v>20</v>
      </c>
      <c r="L107" s="13">
        <f>$G$107*M107-0.1</f>
        <v>1.5697425442138606</v>
      </c>
      <c r="M107" s="12">
        <f t="shared" si="26"/>
        <v>11724.045389542294</v>
      </c>
      <c r="N107" s="71" t="s">
        <v>150</v>
      </c>
      <c r="O107" s="472"/>
      <c r="P107" s="465"/>
      <c r="Q107" s="34" t="s">
        <v>21</v>
      </c>
      <c r="R107" s="31" t="s">
        <v>20</v>
      </c>
      <c r="S107" s="13">
        <f>$G$107*T107+0.1</f>
        <v>0.10729145685310325</v>
      </c>
      <c r="T107" s="12">
        <f t="shared" si="27"/>
        <v>51.19673772337125</v>
      </c>
      <c r="U107" s="31"/>
      <c r="V107" s="488"/>
      <c r="W107" s="465"/>
      <c r="X107" s="34" t="s">
        <v>21</v>
      </c>
      <c r="Y107" s="31" t="s">
        <v>20</v>
      </c>
      <c r="Z107" s="13">
        <f>$G$107*AA107-0.1</f>
        <v>1.4858908469898462</v>
      </c>
      <c r="AA107" s="20">
        <f t="shared" si="28"/>
        <v>11135.283303045091</v>
      </c>
      <c r="AB107" s="31"/>
      <c r="AC107" s="488"/>
      <c r="AD107" s="465"/>
      <c r="AE107" s="34" t="s">
        <v>21</v>
      </c>
      <c r="AF107" s="31" t="s">
        <v>20</v>
      </c>
      <c r="AG107" s="13">
        <f>$G$107*AH107+0.1</f>
        <v>0.10729145685310325</v>
      </c>
      <c r="AH107" s="12">
        <f t="shared" si="29"/>
        <v>51.19673772337125</v>
      </c>
      <c r="AI107" s="31"/>
      <c r="AJ107" s="488"/>
      <c r="AK107" s="465"/>
      <c r="AL107" s="34" t="s">
        <v>21</v>
      </c>
      <c r="AM107" s="31" t="s">
        <v>20</v>
      </c>
      <c r="AN107" s="13">
        <f>$G$107*AO107</f>
        <v>0.26978372840284331</v>
      </c>
      <c r="AO107" s="12">
        <f t="shared" si="30"/>
        <v>1894.2780658703598</v>
      </c>
      <c r="AP107" s="31"/>
      <c r="AQ107" s="4">
        <f t="shared" si="24"/>
        <v>-3.3312756497760887E-8</v>
      </c>
    </row>
    <row r="108" spans="1:43" ht="25.5" x14ac:dyDescent="0.2">
      <c r="A108" s="488"/>
      <c r="B108" s="465"/>
      <c r="C108" s="34" t="s">
        <v>19</v>
      </c>
      <c r="D108" s="31" t="s">
        <v>3</v>
      </c>
      <c r="E108" s="32">
        <v>30</v>
      </c>
      <c r="F108" s="32">
        <v>30000</v>
      </c>
      <c r="G108" s="31">
        <f t="shared" si="25"/>
        <v>1E-3</v>
      </c>
      <c r="H108" s="214"/>
      <c r="I108" s="464"/>
      <c r="J108" s="209" t="s">
        <v>19</v>
      </c>
      <c r="K108" s="31" t="s">
        <v>3</v>
      </c>
      <c r="L108" s="13">
        <f>$G$108*M108</f>
        <v>14.150360544185261</v>
      </c>
      <c r="M108" s="12">
        <f t="shared" si="26"/>
        <v>14150.360544185261</v>
      </c>
      <c r="N108" s="71" t="s">
        <v>150</v>
      </c>
      <c r="O108" s="472"/>
      <c r="P108" s="465"/>
      <c r="Q108" s="34" t="s">
        <v>19</v>
      </c>
      <c r="R108" s="31" t="s">
        <v>3</v>
      </c>
      <c r="S108" s="13">
        <f>$G$108*T108</f>
        <v>6.17920072296885E-2</v>
      </c>
      <c r="T108" s="12">
        <f t="shared" si="27"/>
        <v>61.792007229688501</v>
      </c>
      <c r="U108" s="31"/>
      <c r="V108" s="488"/>
      <c r="W108" s="465"/>
      <c r="X108" s="34" t="s">
        <v>19</v>
      </c>
      <c r="Y108" s="31" t="s">
        <v>3</v>
      </c>
      <c r="Z108" s="13">
        <f>$G$108*AA108</f>
        <v>13.439752940591919</v>
      </c>
      <c r="AA108" s="20">
        <f t="shared" si="28"/>
        <v>13439.752940591919</v>
      </c>
      <c r="AB108" s="31"/>
      <c r="AC108" s="488"/>
      <c r="AD108" s="465"/>
      <c r="AE108" s="34" t="s">
        <v>19</v>
      </c>
      <c r="AF108" s="31" t="s">
        <v>3</v>
      </c>
      <c r="AG108" s="13">
        <f>$G$108*AH108</f>
        <v>6.17920072296885E-2</v>
      </c>
      <c r="AH108" s="12">
        <f t="shared" si="29"/>
        <v>61.792007229688501</v>
      </c>
      <c r="AI108" s="31"/>
      <c r="AJ108" s="488"/>
      <c r="AK108" s="465"/>
      <c r="AL108" s="34" t="s">
        <v>19</v>
      </c>
      <c r="AM108" s="31" t="s">
        <v>3</v>
      </c>
      <c r="AN108" s="13">
        <f>$G$108*AO108</f>
        <v>2.2863027830749436</v>
      </c>
      <c r="AO108" s="12">
        <f t="shared" si="30"/>
        <v>2286.3027830749434</v>
      </c>
      <c r="AP108" s="31"/>
      <c r="AQ108" s="4">
        <f t="shared" ref="AQ108:AQ123" si="31">E108-L108-S108-Z108-AG108-AN108</f>
        <v>-2.8231150217550294E-7</v>
      </c>
    </row>
    <row r="109" spans="1:43" ht="25.5" x14ac:dyDescent="0.2">
      <c r="A109" s="488"/>
      <c r="B109" s="465"/>
      <c r="C109" s="34" t="s">
        <v>18</v>
      </c>
      <c r="D109" s="31" t="s">
        <v>3</v>
      </c>
      <c r="E109" s="32">
        <v>10</v>
      </c>
      <c r="F109" s="32">
        <v>10000</v>
      </c>
      <c r="G109" s="31">
        <f t="shared" si="25"/>
        <v>1E-3</v>
      </c>
      <c r="H109" s="214"/>
      <c r="I109" s="464"/>
      <c r="J109" s="209" t="s">
        <v>18</v>
      </c>
      <c r="K109" s="31" t="s">
        <v>3</v>
      </c>
      <c r="L109" s="13">
        <f>$G$109*M109-0.1</f>
        <v>4.6167868480617535</v>
      </c>
      <c r="M109" s="12">
        <f t="shared" si="26"/>
        <v>4716.7868480617535</v>
      </c>
      <c r="N109" s="71" t="s">
        <v>150</v>
      </c>
      <c r="O109" s="472"/>
      <c r="P109" s="465"/>
      <c r="Q109" s="34" t="s">
        <v>18</v>
      </c>
      <c r="R109" s="31" t="s">
        <v>3</v>
      </c>
      <c r="S109" s="13">
        <f>$G$109*T109+0.1</f>
        <v>0.12059733574322951</v>
      </c>
      <c r="T109" s="12">
        <f t="shared" si="27"/>
        <v>20.5973357432295</v>
      </c>
      <c r="U109" s="31"/>
      <c r="V109" s="488"/>
      <c r="W109" s="465"/>
      <c r="X109" s="34" t="s">
        <v>18</v>
      </c>
      <c r="Y109" s="31" t="s">
        <v>3</v>
      </c>
      <c r="Z109" s="13">
        <f>$G$109*AA109-0.1</f>
        <v>4.3799176468639729</v>
      </c>
      <c r="AA109" s="20">
        <f t="shared" si="28"/>
        <v>4479.9176468639725</v>
      </c>
      <c r="AB109" s="31"/>
      <c r="AC109" s="488"/>
      <c r="AD109" s="465"/>
      <c r="AE109" s="34" t="s">
        <v>18</v>
      </c>
      <c r="AF109" s="31" t="s">
        <v>3</v>
      </c>
      <c r="AG109" s="13">
        <f>$G$109*AH109+0.1</f>
        <v>0.12059733574322951</v>
      </c>
      <c r="AH109" s="12">
        <f t="shared" si="29"/>
        <v>20.5973357432295</v>
      </c>
      <c r="AI109" s="31"/>
      <c r="AJ109" s="488"/>
      <c r="AK109" s="465"/>
      <c r="AL109" s="34" t="s">
        <v>18</v>
      </c>
      <c r="AM109" s="31" t="s">
        <v>3</v>
      </c>
      <c r="AN109" s="13">
        <f>$G$109*AO109</f>
        <v>0.76210092769164783</v>
      </c>
      <c r="AO109" s="12">
        <f t="shared" si="30"/>
        <v>762.10092769164783</v>
      </c>
      <c r="AP109" s="31"/>
      <c r="AQ109" s="4">
        <f t="shared" si="31"/>
        <v>-9.4103833503389467E-8</v>
      </c>
    </row>
    <row r="110" spans="1:43" ht="49.5" customHeight="1" x14ac:dyDescent="0.2">
      <c r="A110" s="488"/>
      <c r="B110" s="465"/>
      <c r="C110" s="34" t="s">
        <v>17</v>
      </c>
      <c r="D110" s="31" t="s">
        <v>12</v>
      </c>
      <c r="E110" s="32">
        <v>1</v>
      </c>
      <c r="F110" s="32">
        <v>18774</v>
      </c>
      <c r="G110" s="18">
        <f t="shared" si="25"/>
        <v>5.3265153936294876E-5</v>
      </c>
      <c r="H110" s="214"/>
      <c r="I110" s="464"/>
      <c r="J110" s="209" t="s">
        <v>17</v>
      </c>
      <c r="K110" s="31" t="s">
        <v>12</v>
      </c>
      <c r="L110" s="13">
        <f>$G$110*M110-0.1</f>
        <v>0.37167868480617527</v>
      </c>
      <c r="M110" s="12">
        <f t="shared" si="26"/>
        <v>8855.2956285511355</v>
      </c>
      <c r="N110" s="71" t="s">
        <v>150</v>
      </c>
      <c r="O110" s="472"/>
      <c r="P110" s="465"/>
      <c r="Q110" s="34" t="s">
        <v>17</v>
      </c>
      <c r="R110" s="31" t="s">
        <v>12</v>
      </c>
      <c r="S110" s="13">
        <f>$G$110*T110+0.1</f>
        <v>0.10205973357432295</v>
      </c>
      <c r="T110" s="12">
        <f t="shared" si="27"/>
        <v>38.669438124339067</v>
      </c>
      <c r="U110" s="31"/>
      <c r="V110" s="488"/>
      <c r="W110" s="465"/>
      <c r="X110" s="34" t="s">
        <v>17</v>
      </c>
      <c r="Y110" s="31" t="s">
        <v>12</v>
      </c>
      <c r="Z110" s="13">
        <f>$G$110*AA110-0.1</f>
        <v>0.34799176468639736</v>
      </c>
      <c r="AA110" s="20">
        <f t="shared" si="28"/>
        <v>8410.5973902224232</v>
      </c>
      <c r="AB110" s="31"/>
      <c r="AC110" s="488"/>
      <c r="AD110" s="465"/>
      <c r="AE110" s="34" t="s">
        <v>17</v>
      </c>
      <c r="AF110" s="31" t="s">
        <v>12</v>
      </c>
      <c r="AG110" s="13">
        <f>$G$110*AH110+0.1</f>
        <v>0.10205973357432295</v>
      </c>
      <c r="AH110" s="12">
        <f t="shared" si="29"/>
        <v>38.669438124339067</v>
      </c>
      <c r="AI110" s="31"/>
      <c r="AJ110" s="488"/>
      <c r="AK110" s="465"/>
      <c r="AL110" s="34" t="s">
        <v>17</v>
      </c>
      <c r="AM110" s="31" t="s">
        <v>12</v>
      </c>
      <c r="AN110" s="13">
        <f>$G$110*AO110</f>
        <v>7.6210092769164781E-2</v>
      </c>
      <c r="AO110" s="12">
        <f t="shared" si="30"/>
        <v>1430.7682816482995</v>
      </c>
      <c r="AP110" s="31"/>
      <c r="AQ110" s="4">
        <f t="shared" si="31"/>
        <v>-9.4103833336856013E-9</v>
      </c>
    </row>
    <row r="111" spans="1:43" ht="89.25" x14ac:dyDescent="0.2">
      <c r="A111" s="488"/>
      <c r="B111" s="465"/>
      <c r="C111" s="34" t="s">
        <v>16</v>
      </c>
      <c r="D111" s="31" t="s">
        <v>3</v>
      </c>
      <c r="E111" s="32">
        <v>90</v>
      </c>
      <c r="F111" s="32">
        <f>200000+20000+24000+4000+2000+165000</f>
        <v>415000</v>
      </c>
      <c r="G111" s="18">
        <f t="shared" si="25"/>
        <v>2.1686746987951806E-4</v>
      </c>
      <c r="H111" s="214"/>
      <c r="I111" s="464"/>
      <c r="J111" s="209" t="s">
        <v>16</v>
      </c>
      <c r="K111" s="31" t="s">
        <v>3</v>
      </c>
      <c r="L111" s="13">
        <f>$G$111*M111</f>
        <v>42.451081632555784</v>
      </c>
      <c r="M111" s="12">
        <f t="shared" si="26"/>
        <v>195746.65419456278</v>
      </c>
      <c r="N111" s="71" t="s">
        <v>150</v>
      </c>
      <c r="O111" s="472"/>
      <c r="P111" s="465"/>
      <c r="Q111" s="34" t="s">
        <v>16</v>
      </c>
      <c r="R111" s="31" t="s">
        <v>3</v>
      </c>
      <c r="S111" s="13">
        <f>$G$111*T111</f>
        <v>0.1853760216890655</v>
      </c>
      <c r="T111" s="12">
        <f t="shared" si="27"/>
        <v>854.78943334402425</v>
      </c>
      <c r="U111" s="31"/>
      <c r="V111" s="488"/>
      <c r="W111" s="465"/>
      <c r="X111" s="34" t="s">
        <v>16</v>
      </c>
      <c r="Y111" s="31" t="s">
        <v>3</v>
      </c>
      <c r="Z111" s="13">
        <f>$G$111*AA111</f>
        <v>40.319258821775755</v>
      </c>
      <c r="AA111" s="20">
        <f t="shared" si="28"/>
        <v>185916.58234485486</v>
      </c>
      <c r="AB111" s="31"/>
      <c r="AC111" s="488"/>
      <c r="AD111" s="465"/>
      <c r="AE111" s="34" t="s">
        <v>16</v>
      </c>
      <c r="AF111" s="31" t="s">
        <v>3</v>
      </c>
      <c r="AG111" s="13">
        <f>$G$111*AH111</f>
        <v>0.1853760216890655</v>
      </c>
      <c r="AH111" s="12">
        <f t="shared" si="29"/>
        <v>854.78943334402425</v>
      </c>
      <c r="AI111" s="31"/>
      <c r="AJ111" s="488"/>
      <c r="AK111" s="465"/>
      <c r="AL111" s="34" t="s">
        <v>16</v>
      </c>
      <c r="AM111" s="31" t="s">
        <v>3</v>
      </c>
      <c r="AN111" s="13">
        <f>$G$111*AO111</f>
        <v>6.8589083492248299</v>
      </c>
      <c r="AO111" s="12">
        <f t="shared" si="30"/>
        <v>31627.188499203385</v>
      </c>
      <c r="AP111" s="31"/>
      <c r="AQ111" s="4">
        <f t="shared" si="31"/>
        <v>-8.4693450030925987E-7</v>
      </c>
    </row>
    <row r="112" spans="1:43" ht="38.25" x14ac:dyDescent="0.2">
      <c r="A112" s="488"/>
      <c r="B112" s="465"/>
      <c r="C112" s="34" t="s">
        <v>15</v>
      </c>
      <c r="D112" s="31" t="s">
        <v>12</v>
      </c>
      <c r="E112" s="32">
        <v>1</v>
      </c>
      <c r="F112" s="32">
        <v>7500</v>
      </c>
      <c r="G112" s="18">
        <f t="shared" si="25"/>
        <v>1.3333333333333334E-4</v>
      </c>
      <c r="H112" s="214"/>
      <c r="I112" s="464"/>
      <c r="J112" s="209" t="s">
        <v>15</v>
      </c>
      <c r="K112" s="31" t="s">
        <v>12</v>
      </c>
      <c r="L112" s="13">
        <f>$G$112*M112-0.1</f>
        <v>0.37167868480617539</v>
      </c>
      <c r="M112" s="12">
        <f t="shared" si="26"/>
        <v>3537.5901360463154</v>
      </c>
      <c r="N112" s="71" t="s">
        <v>150</v>
      </c>
      <c r="O112" s="472"/>
      <c r="P112" s="465"/>
      <c r="Q112" s="34" t="s">
        <v>15</v>
      </c>
      <c r="R112" s="31" t="s">
        <v>12</v>
      </c>
      <c r="S112" s="13">
        <f>$G$112*T112+0.1</f>
        <v>0.10205973357432295</v>
      </c>
      <c r="T112" s="12">
        <f t="shared" si="27"/>
        <v>15.448001807422125</v>
      </c>
      <c r="U112" s="31"/>
      <c r="V112" s="488"/>
      <c r="W112" s="465"/>
      <c r="X112" s="34" t="s">
        <v>15</v>
      </c>
      <c r="Y112" s="31" t="s">
        <v>12</v>
      </c>
      <c r="Z112" s="13">
        <f>$G$112*AA112</f>
        <v>0.44799176468639734</v>
      </c>
      <c r="AA112" s="20">
        <f t="shared" si="28"/>
        <v>3359.9382351479799</v>
      </c>
      <c r="AB112" s="31"/>
      <c r="AC112" s="488"/>
      <c r="AD112" s="465"/>
      <c r="AE112" s="34" t="s">
        <v>15</v>
      </c>
      <c r="AF112" s="31" t="s">
        <v>12</v>
      </c>
      <c r="AG112" s="13">
        <f>$G$112*AH112</f>
        <v>2.0597335743229501E-3</v>
      </c>
      <c r="AH112" s="12">
        <f t="shared" si="29"/>
        <v>15.448001807422125</v>
      </c>
      <c r="AI112" s="31"/>
      <c r="AJ112" s="488"/>
      <c r="AK112" s="465"/>
      <c r="AL112" s="34" t="s">
        <v>15</v>
      </c>
      <c r="AM112" s="31" t="s">
        <v>12</v>
      </c>
      <c r="AN112" s="13">
        <f>$G$112*AO112</f>
        <v>7.6210092769164781E-2</v>
      </c>
      <c r="AO112" s="12">
        <f t="shared" si="30"/>
        <v>571.57569576873584</v>
      </c>
      <c r="AP112" s="31"/>
      <c r="AQ112" s="4">
        <f t="shared" si="31"/>
        <v>-9.4103834169523282E-9</v>
      </c>
    </row>
    <row r="113" spans="1:43" ht="108" x14ac:dyDescent="0.2">
      <c r="A113" s="488"/>
      <c r="B113" s="465"/>
      <c r="C113" s="15" t="s">
        <v>14</v>
      </c>
      <c r="D113" s="31" t="s">
        <v>10</v>
      </c>
      <c r="E113" s="33">
        <v>110</v>
      </c>
      <c r="F113" s="33">
        <v>20000</v>
      </c>
      <c r="G113" s="18">
        <f t="shared" si="25"/>
        <v>5.4999999999999997E-3</v>
      </c>
      <c r="H113" s="214"/>
      <c r="I113" s="464"/>
      <c r="J113" s="210" t="s">
        <v>14</v>
      </c>
      <c r="K113" s="31" t="s">
        <v>10</v>
      </c>
      <c r="L113" s="13">
        <f>$G$113*M113</f>
        <v>51.884655328679287</v>
      </c>
      <c r="M113" s="12">
        <f t="shared" si="26"/>
        <v>9433.573696123507</v>
      </c>
      <c r="N113" s="71" t="s">
        <v>150</v>
      </c>
      <c r="O113" s="472"/>
      <c r="P113" s="465"/>
      <c r="Q113" s="15" t="s">
        <v>14</v>
      </c>
      <c r="R113" s="31" t="s">
        <v>10</v>
      </c>
      <c r="S113" s="13">
        <f>$G$113*T113</f>
        <v>0.2265706931755245</v>
      </c>
      <c r="T113" s="12">
        <f t="shared" si="27"/>
        <v>41.194671486459001</v>
      </c>
      <c r="U113" s="31"/>
      <c r="V113" s="488"/>
      <c r="W113" s="465"/>
      <c r="X113" s="15" t="s">
        <v>14</v>
      </c>
      <c r="Y113" s="31" t="s">
        <v>10</v>
      </c>
      <c r="Z113" s="13">
        <f>$G$113*AA113</f>
        <v>49.279094115503696</v>
      </c>
      <c r="AA113" s="20">
        <f t="shared" si="28"/>
        <v>8959.8352937279451</v>
      </c>
      <c r="AB113" s="31"/>
      <c r="AC113" s="488"/>
      <c r="AD113" s="465"/>
      <c r="AE113" s="15" t="s">
        <v>14</v>
      </c>
      <c r="AF113" s="31" t="s">
        <v>10</v>
      </c>
      <c r="AG113" s="13">
        <f>$G$113*AH113</f>
        <v>0.2265706931755245</v>
      </c>
      <c r="AH113" s="12">
        <f t="shared" si="29"/>
        <v>41.194671486459001</v>
      </c>
      <c r="AI113" s="31"/>
      <c r="AJ113" s="488"/>
      <c r="AK113" s="465"/>
      <c r="AL113" s="15" t="s">
        <v>14</v>
      </c>
      <c r="AM113" s="31" t="s">
        <v>10</v>
      </c>
      <c r="AN113" s="13">
        <f>$G$113*AO113</f>
        <v>8.3831102046081263</v>
      </c>
      <c r="AO113" s="12">
        <f t="shared" si="30"/>
        <v>1524.2018553832957</v>
      </c>
      <c r="AP113" s="31"/>
      <c r="AQ113" s="4">
        <f t="shared" si="31"/>
        <v>-1.0351421586562992E-6</v>
      </c>
    </row>
    <row r="114" spans="1:43" ht="41.25" thickBot="1" x14ac:dyDescent="0.25">
      <c r="A114" s="488"/>
      <c r="B114" s="465"/>
      <c r="C114" s="15" t="s">
        <v>13</v>
      </c>
      <c r="D114" s="31" t="s">
        <v>12</v>
      </c>
      <c r="E114" s="33">
        <v>1</v>
      </c>
      <c r="F114" s="33">
        <v>150000</v>
      </c>
      <c r="G114" s="18">
        <f t="shared" si="25"/>
        <v>6.6666666666666666E-6</v>
      </c>
      <c r="H114" s="214"/>
      <c r="I114" s="473"/>
      <c r="J114" s="210" t="s">
        <v>13</v>
      </c>
      <c r="K114" s="31" t="s">
        <v>12</v>
      </c>
      <c r="L114" s="13">
        <f>$G$114*M114-0.1</f>
        <v>0.37167868480617539</v>
      </c>
      <c r="M114" s="12">
        <f t="shared" si="26"/>
        <v>70751.802720926309</v>
      </c>
      <c r="N114" s="71" t="s">
        <v>150</v>
      </c>
      <c r="O114" s="472"/>
      <c r="P114" s="465"/>
      <c r="Q114" s="15" t="s">
        <v>13</v>
      </c>
      <c r="R114" s="31" t="s">
        <v>12</v>
      </c>
      <c r="S114" s="13">
        <f>$G$114*T114+0.1</f>
        <v>0.10205973357432295</v>
      </c>
      <c r="T114" s="12">
        <f t="shared" si="27"/>
        <v>308.9600361484425</v>
      </c>
      <c r="U114" s="31"/>
      <c r="V114" s="488"/>
      <c r="W114" s="465"/>
      <c r="X114" s="15" t="s">
        <v>13</v>
      </c>
      <c r="Y114" s="31" t="s">
        <v>12</v>
      </c>
      <c r="Z114" s="13">
        <f>$G$114*AA114-0.1</f>
        <v>0.34799176468639725</v>
      </c>
      <c r="AA114" s="20">
        <f t="shared" si="28"/>
        <v>67198.764702959597</v>
      </c>
      <c r="AB114" s="31"/>
      <c r="AC114" s="488"/>
      <c r="AD114" s="465"/>
      <c r="AE114" s="15" t="s">
        <v>13</v>
      </c>
      <c r="AF114" s="31" t="s">
        <v>12</v>
      </c>
      <c r="AG114" s="13">
        <f>$G$114*AH114+0.1</f>
        <v>0.10205973357432295</v>
      </c>
      <c r="AH114" s="12">
        <f t="shared" si="29"/>
        <v>308.9600361484425</v>
      </c>
      <c r="AI114" s="31"/>
      <c r="AJ114" s="488"/>
      <c r="AK114" s="465"/>
      <c r="AL114" s="15" t="s">
        <v>13</v>
      </c>
      <c r="AM114" s="31" t="s">
        <v>12</v>
      </c>
      <c r="AN114" s="13">
        <f>$G$114*AO114</f>
        <v>7.6210092769164781E-2</v>
      </c>
      <c r="AO114" s="12">
        <f t="shared" si="30"/>
        <v>11431.513915374717</v>
      </c>
      <c r="AP114" s="31"/>
      <c r="AQ114" s="4">
        <f t="shared" si="31"/>
        <v>-9.4103833336856013E-9</v>
      </c>
    </row>
    <row r="115" spans="1:43" ht="42.75" x14ac:dyDescent="0.2">
      <c r="A115" s="17"/>
      <c r="B115" s="16"/>
      <c r="C115" s="31" t="s">
        <v>11</v>
      </c>
      <c r="D115" s="31" t="s">
        <v>10</v>
      </c>
      <c r="E115" s="32">
        <v>1140</v>
      </c>
      <c r="F115" s="32">
        <f>23000+5000</f>
        <v>28000</v>
      </c>
      <c r="G115" s="18">
        <f t="shared" si="25"/>
        <v>4.0714285714285717E-2</v>
      </c>
      <c r="H115" s="401"/>
      <c r="I115" s="402"/>
      <c r="J115" s="124" t="s">
        <v>11</v>
      </c>
      <c r="K115" s="31" t="s">
        <v>10</v>
      </c>
      <c r="L115" s="13">
        <f>$G$115*M115</f>
        <v>537.7137006790399</v>
      </c>
      <c r="M115" s="12">
        <f t="shared" si="26"/>
        <v>13207.00317457291</v>
      </c>
      <c r="N115" s="71" t="s">
        <v>150</v>
      </c>
      <c r="O115" s="327"/>
      <c r="P115" s="16"/>
      <c r="Q115" s="31" t="s">
        <v>11</v>
      </c>
      <c r="R115" s="31" t="s">
        <v>10</v>
      </c>
      <c r="S115" s="13">
        <f>$G$115*T115</f>
        <v>2.3480962747281633</v>
      </c>
      <c r="T115" s="12">
        <f t="shared" si="27"/>
        <v>57.672540081042605</v>
      </c>
      <c r="U115" s="31"/>
      <c r="V115" s="17"/>
      <c r="W115" s="16"/>
      <c r="X115" s="31" t="s">
        <v>11</v>
      </c>
      <c r="Y115" s="31" t="s">
        <v>10</v>
      </c>
      <c r="Z115" s="13">
        <f>$G$115*AA115</f>
        <v>510.71061174249292</v>
      </c>
      <c r="AA115" s="20">
        <f t="shared" si="28"/>
        <v>12543.769411219124</v>
      </c>
      <c r="AB115" s="31"/>
      <c r="AC115" s="17"/>
      <c r="AD115" s="16"/>
      <c r="AE115" s="31" t="s">
        <v>11</v>
      </c>
      <c r="AF115" s="31" t="s">
        <v>10</v>
      </c>
      <c r="AG115" s="13">
        <f>$G$115*AH115</f>
        <v>2.3480962747281633</v>
      </c>
      <c r="AH115" s="12">
        <f t="shared" si="29"/>
        <v>57.672540081042605</v>
      </c>
      <c r="AI115" s="31"/>
      <c r="AJ115" s="17"/>
      <c r="AK115" s="16"/>
      <c r="AL115" s="31" t="s">
        <v>11</v>
      </c>
      <c r="AM115" s="31" t="s">
        <v>10</v>
      </c>
      <c r="AN115" s="13">
        <f>$G$115*AO115</f>
        <v>86.879505756847863</v>
      </c>
      <c r="AO115" s="12">
        <f t="shared" si="30"/>
        <v>2133.882597536614</v>
      </c>
      <c r="AP115" s="31"/>
      <c r="AQ115" s="4">
        <f t="shared" si="31"/>
        <v>-1.0727837008062124E-5</v>
      </c>
    </row>
    <row r="116" spans="1:43" s="21" customFormat="1" x14ac:dyDescent="0.2">
      <c r="A116" s="27"/>
      <c r="B116" s="26"/>
      <c r="C116" s="25" t="s">
        <v>9</v>
      </c>
      <c r="D116" s="24" t="s">
        <v>8</v>
      </c>
      <c r="E116" s="30">
        <f>3393+3637.5</f>
        <v>7030.5</v>
      </c>
      <c r="F116" s="29">
        <v>558159.99800000002</v>
      </c>
      <c r="G116" s="18">
        <f t="shared" si="25"/>
        <v>1.259585069727623E-2</v>
      </c>
      <c r="H116" s="27"/>
      <c r="I116" s="212"/>
      <c r="J116" s="211" t="s">
        <v>9</v>
      </c>
      <c r="K116" s="24" t="s">
        <v>8</v>
      </c>
      <c r="L116" s="13">
        <f>$G$116*M116</f>
        <v>3621.6848316010755</v>
      </c>
      <c r="M116" s="28">
        <f>288785.58/460*458</f>
        <v>287529.99052173912</v>
      </c>
      <c r="N116" s="218" t="s">
        <v>150</v>
      </c>
      <c r="O116" s="217"/>
      <c r="P116" s="26"/>
      <c r="Q116" s="25" t="s">
        <v>9</v>
      </c>
      <c r="R116" s="24" t="s">
        <v>8</v>
      </c>
      <c r="S116" s="13">
        <f>$G$116*T116</f>
        <v>15.815217605244872</v>
      </c>
      <c r="T116" s="28">
        <f>288785.58/460*2</f>
        <v>1255.5894782608696</v>
      </c>
      <c r="U116" s="22"/>
      <c r="V116" s="27"/>
      <c r="W116" s="26"/>
      <c r="X116" s="25" t="s">
        <v>9</v>
      </c>
      <c r="Y116" s="24" t="s">
        <v>8</v>
      </c>
      <c r="Z116" s="13">
        <f>$G$116*AA116</f>
        <v>2888.3659286764</v>
      </c>
      <c r="AA116" s="23">
        <f>269374.42/SUM($J$2:$L$2)*J2</f>
        <v>229310.90547945205</v>
      </c>
      <c r="AB116" s="22"/>
      <c r="AC116" s="27"/>
      <c r="AD116" s="26"/>
      <c r="AE116" s="25" t="s">
        <v>9</v>
      </c>
      <c r="AF116" s="24" t="s">
        <v>8</v>
      </c>
      <c r="AG116" s="13">
        <f>$G$116*AH116</f>
        <v>13.279843350236321</v>
      </c>
      <c r="AH116" s="23">
        <f>269374.42/SUM($J$2:$L$2)*K2</f>
        <v>1054.3030136986301</v>
      </c>
      <c r="AI116" s="22"/>
      <c r="AJ116" s="27"/>
      <c r="AK116" s="26"/>
      <c r="AL116" s="25" t="s">
        <v>9</v>
      </c>
      <c r="AM116" s="24" t="s">
        <v>8</v>
      </c>
      <c r="AN116" s="13">
        <f>$G$116*AO116</f>
        <v>491.35420395874388</v>
      </c>
      <c r="AO116" s="23">
        <f>269374.42/SUM($J$2:$L$2)*L2</f>
        <v>39009.211506849315</v>
      </c>
      <c r="AP116" s="22"/>
      <c r="AQ116" s="4">
        <f t="shared" si="31"/>
        <v>-2.5191700672166917E-5</v>
      </c>
    </row>
    <row r="117" spans="1:43" ht="54" x14ac:dyDescent="0.2">
      <c r="A117" s="17"/>
      <c r="B117" s="16"/>
      <c r="C117" s="15" t="s">
        <v>7</v>
      </c>
      <c r="D117" s="14" t="s">
        <v>3</v>
      </c>
      <c r="E117" s="19">
        <v>18</v>
      </c>
      <c r="F117" s="19">
        <v>11730</v>
      </c>
      <c r="G117" s="18">
        <f t="shared" si="25"/>
        <v>1.5345268542199489E-3</v>
      </c>
      <c r="H117" s="401"/>
      <c r="I117" s="403"/>
      <c r="J117" s="210" t="s">
        <v>7</v>
      </c>
      <c r="K117" s="14" t="s">
        <v>3</v>
      </c>
      <c r="L117" s="13">
        <f>$G$117*M117-0.1</f>
        <v>8.3902163265111582</v>
      </c>
      <c r="M117" s="12">
        <f>$N$126/($F$121-558160)*F117</f>
        <v>5532.7909727764372</v>
      </c>
      <c r="N117" s="219" t="s">
        <v>150</v>
      </c>
      <c r="O117" s="327"/>
      <c r="P117" s="16"/>
      <c r="Q117" s="15" t="s">
        <v>7</v>
      </c>
      <c r="R117" s="14" t="s">
        <v>3</v>
      </c>
      <c r="S117" s="13">
        <f>$G$117*T117+0.1</f>
        <v>0.13707520433781312</v>
      </c>
      <c r="T117" s="12">
        <f>$U$126/($F$121-558160)*F117</f>
        <v>24.160674826808204</v>
      </c>
      <c r="U117" s="11"/>
      <c r="V117" s="17"/>
      <c r="W117" s="16"/>
      <c r="X117" s="15" t="s">
        <v>7</v>
      </c>
      <c r="Y117" s="14" t="s">
        <v>3</v>
      </c>
      <c r="Z117" s="13">
        <f>$G$117*AA117-0.1</f>
        <v>7.9638517643551516</v>
      </c>
      <c r="AA117" s="20">
        <f>$AB$126/($F$121-558160)*F117</f>
        <v>5254.9433997714405</v>
      </c>
      <c r="AB117" s="11"/>
      <c r="AC117" s="17"/>
      <c r="AD117" s="16"/>
      <c r="AE117" s="15" t="s">
        <v>7</v>
      </c>
      <c r="AF117" s="14" t="s">
        <v>3</v>
      </c>
      <c r="AG117" s="13">
        <f>$G$117*AH117+0.13</f>
        <v>0.16707520433781312</v>
      </c>
      <c r="AH117" s="12">
        <f>$AI$126/($F$121-558160)*F117</f>
        <v>24.160674826808204</v>
      </c>
      <c r="AI117" s="11"/>
      <c r="AJ117" s="17"/>
      <c r="AK117" s="16"/>
      <c r="AL117" s="15" t="s">
        <v>7</v>
      </c>
      <c r="AM117" s="14" t="s">
        <v>3</v>
      </c>
      <c r="AN117" s="13">
        <f>$G$117*AO117</f>
        <v>1.3717816698449661</v>
      </c>
      <c r="AO117" s="12">
        <f>$AP$125/($F$121-558160)*F117</f>
        <v>893.94438818230287</v>
      </c>
      <c r="AP117" s="11"/>
      <c r="AQ117" s="4">
        <f t="shared" si="31"/>
        <v>-3.0000169386902753E-2</v>
      </c>
    </row>
    <row r="118" spans="1:43" ht="27" x14ac:dyDescent="0.2">
      <c r="A118" s="17"/>
      <c r="B118" s="16"/>
      <c r="C118" s="15" t="s">
        <v>6</v>
      </c>
      <c r="D118" s="14" t="s">
        <v>3</v>
      </c>
      <c r="E118" s="19">
        <v>31</v>
      </c>
      <c r="F118" s="19">
        <v>72300</v>
      </c>
      <c r="G118" s="18">
        <f t="shared" si="25"/>
        <v>4.2876901798063625E-4</v>
      </c>
      <c r="H118" s="401"/>
      <c r="I118" s="403"/>
      <c r="J118" s="210" t="s">
        <v>6</v>
      </c>
      <c r="K118" s="14" t="s">
        <v>3</v>
      </c>
      <c r="L118" s="13">
        <f>$G$118*M118</f>
        <v>14.622039228991435</v>
      </c>
      <c r="M118" s="12">
        <f>$N$126/($F$121-558160)*F118</f>
        <v>34102.368911486476</v>
      </c>
      <c r="N118" s="219" t="s">
        <v>150</v>
      </c>
      <c r="O118" s="327"/>
      <c r="P118" s="16"/>
      <c r="Q118" s="15" t="s">
        <v>6</v>
      </c>
      <c r="R118" s="14" t="s">
        <v>3</v>
      </c>
      <c r="S118" s="13">
        <f>$G$118*T118</f>
        <v>6.3851740804011459E-2</v>
      </c>
      <c r="T118" s="12">
        <f>$U$126/($F$121-558160)*F118</f>
        <v>148.91873742354929</v>
      </c>
      <c r="U118" s="11"/>
      <c r="V118" s="17"/>
      <c r="W118" s="16"/>
      <c r="X118" s="15" t="s">
        <v>6</v>
      </c>
      <c r="Y118" s="14" t="s">
        <v>3</v>
      </c>
      <c r="Z118" s="13">
        <f>$G$118*AA118</f>
        <v>13.887744705278317</v>
      </c>
      <c r="AA118" s="20">
        <f>$AB$126/($F$121-558160)*F118</f>
        <v>32389.804586826525</v>
      </c>
      <c r="AB118" s="11"/>
      <c r="AC118" s="17"/>
      <c r="AD118" s="16"/>
      <c r="AE118" s="15" t="s">
        <v>6</v>
      </c>
      <c r="AF118" s="14" t="s">
        <v>3</v>
      </c>
      <c r="AG118" s="13">
        <f>$G$118*AH118</f>
        <v>6.3851740804011459E-2</v>
      </c>
      <c r="AH118" s="12">
        <f>$AI$126/($F$121-558160)*F118</f>
        <v>148.91873742354929</v>
      </c>
      <c r="AI118" s="11"/>
      <c r="AJ118" s="17"/>
      <c r="AK118" s="16"/>
      <c r="AL118" s="15" t="s">
        <v>6</v>
      </c>
      <c r="AM118" s="14" t="s">
        <v>3</v>
      </c>
      <c r="AN118" s="13">
        <f>$G$118*AO118</f>
        <v>2.3625128758441081</v>
      </c>
      <c r="AO118" s="12">
        <f>$AP$125/($F$121-558160)*F118</f>
        <v>5509.9897072106132</v>
      </c>
      <c r="AP118" s="11"/>
      <c r="AQ118" s="4">
        <f t="shared" si="31"/>
        <v>-2.9172188131809662E-7</v>
      </c>
    </row>
    <row r="119" spans="1:43" ht="27.75" thickBot="1" x14ac:dyDescent="0.25">
      <c r="A119" s="17"/>
      <c r="B119" s="16"/>
      <c r="C119" s="15" t="s">
        <v>5</v>
      </c>
      <c r="D119" s="14" t="s">
        <v>3</v>
      </c>
      <c r="E119" s="19">
        <v>13</v>
      </c>
      <c r="F119" s="19">
        <v>55500.000000000007</v>
      </c>
      <c r="G119" s="18">
        <f t="shared" si="25"/>
        <v>2.3423423423423422E-4</v>
      </c>
      <c r="H119" s="10"/>
      <c r="I119" s="404"/>
      <c r="J119" s="359" t="s">
        <v>5</v>
      </c>
      <c r="K119" s="224" t="s">
        <v>3</v>
      </c>
      <c r="L119" s="242">
        <f>$G$119*M119-0.1</f>
        <v>6.0318229024802807</v>
      </c>
      <c r="M119" s="306">
        <f>$N$126/($F$121-558160)*F119</f>
        <v>26178.167006742737</v>
      </c>
      <c r="N119" s="227" t="s">
        <v>150</v>
      </c>
      <c r="O119" s="327"/>
      <c r="P119" s="16"/>
      <c r="Q119" s="15" t="s">
        <v>5</v>
      </c>
      <c r="R119" s="14" t="s">
        <v>3</v>
      </c>
      <c r="S119" s="13">
        <f>$G$119*T119+0.1</f>
        <v>0.12677653646619835</v>
      </c>
      <c r="T119" s="12">
        <f>$U$126/($F$121-558160)*F119</f>
        <v>114.31521337492374</v>
      </c>
      <c r="U119" s="11"/>
      <c r="V119" s="17"/>
      <c r="W119" s="16"/>
      <c r="X119" s="15" t="s">
        <v>5</v>
      </c>
      <c r="Y119" s="14" t="s">
        <v>3</v>
      </c>
      <c r="Z119" s="13">
        <f>$G$119*AA119-0.1</f>
        <v>5.7238929409231654</v>
      </c>
      <c r="AA119" s="20">
        <f>$AB$126/($F$121-558160)*F119</f>
        <v>24863.542940095052</v>
      </c>
      <c r="AB119" s="11"/>
      <c r="AC119" s="17"/>
      <c r="AD119" s="16"/>
      <c r="AE119" s="15" t="s">
        <v>5</v>
      </c>
      <c r="AF119" s="14" t="s">
        <v>3</v>
      </c>
      <c r="AG119" s="13">
        <f>$G$119*AH119+0.1</f>
        <v>0.12677653646619835</v>
      </c>
      <c r="AH119" s="12">
        <f>$AI$126/($F$121-558160)*F119</f>
        <v>114.31521337492374</v>
      </c>
      <c r="AI119" s="11"/>
      <c r="AJ119" s="17"/>
      <c r="AK119" s="16"/>
      <c r="AL119" s="15" t="s">
        <v>5</v>
      </c>
      <c r="AM119" s="14" t="s">
        <v>3</v>
      </c>
      <c r="AN119" s="13">
        <f>$G$119*AO119</f>
        <v>0.99073120599914211</v>
      </c>
      <c r="AO119" s="12">
        <f>$AP$125/($F$121-558160)*F119</f>
        <v>4229.6601486886457</v>
      </c>
      <c r="AP119" s="11"/>
      <c r="AQ119" s="4">
        <f t="shared" si="31"/>
        <v>-1.2233498469793602E-7</v>
      </c>
    </row>
    <row r="120" spans="1:43" ht="27" hidden="1" x14ac:dyDescent="0.2">
      <c r="A120" s="17"/>
      <c r="B120" s="16"/>
      <c r="C120" s="15" t="s">
        <v>4</v>
      </c>
      <c r="D120" s="14" t="s">
        <v>3</v>
      </c>
      <c r="E120" s="19">
        <v>30</v>
      </c>
      <c r="F120" s="19">
        <v>22200</v>
      </c>
      <c r="G120" s="18">
        <f t="shared" si="25"/>
        <v>1.3513513513513514E-3</v>
      </c>
      <c r="H120" s="17"/>
      <c r="I120" s="36"/>
      <c r="J120" s="280" t="s">
        <v>4</v>
      </c>
      <c r="K120" s="247" t="s">
        <v>3</v>
      </c>
      <c r="L120" s="243">
        <f>$G$120*M120</f>
        <v>14.150360544185261</v>
      </c>
      <c r="M120" s="244">
        <f>$N$126/($F$121-558160)*F120</f>
        <v>10471.266802697093</v>
      </c>
      <c r="N120" s="276"/>
      <c r="O120" s="17"/>
      <c r="P120" s="16"/>
      <c r="Q120" s="15" t="s">
        <v>4</v>
      </c>
      <c r="R120" s="14" t="s">
        <v>3</v>
      </c>
      <c r="S120" s="13">
        <f>$G$120*T120</f>
        <v>6.1792007229688507E-2</v>
      </c>
      <c r="T120" s="12">
        <f>$U$126/($F$121-558160)*F120</f>
        <v>45.726085349969495</v>
      </c>
      <c r="U120" s="11"/>
      <c r="V120" s="17"/>
      <c r="W120" s="16"/>
      <c r="X120" s="15" t="s">
        <v>4</v>
      </c>
      <c r="Y120" s="14" t="s">
        <v>3</v>
      </c>
      <c r="Z120" s="13">
        <f>$G$120*AA120</f>
        <v>13.439752940591919</v>
      </c>
      <c r="AA120" s="2">
        <f>$AB$126/($F$121-558160)*F120</f>
        <v>9945.4171760380195</v>
      </c>
      <c r="AB120" s="11"/>
      <c r="AC120" s="17"/>
      <c r="AD120" s="16"/>
      <c r="AE120" s="15" t="s">
        <v>4</v>
      </c>
      <c r="AF120" s="14" t="s">
        <v>3</v>
      </c>
      <c r="AG120" s="13">
        <f>$G$120*AH120</f>
        <v>6.1792007229688507E-2</v>
      </c>
      <c r="AH120" s="3">
        <f>$AI$126/($F$121-558160)*F120</f>
        <v>45.726085349969495</v>
      </c>
      <c r="AI120" s="11"/>
      <c r="AJ120" s="17"/>
      <c r="AK120" s="16"/>
      <c r="AL120" s="15" t="s">
        <v>4</v>
      </c>
      <c r="AM120" s="14" t="s">
        <v>3</v>
      </c>
      <c r="AN120" s="13">
        <f>$G$120*AO120</f>
        <v>2.2863027830749436</v>
      </c>
      <c r="AO120" s="12">
        <f>$AP$125/($F$121-558160)*F120</f>
        <v>1691.8640594754581</v>
      </c>
      <c r="AP120" s="11"/>
      <c r="AQ120" s="4">
        <f t="shared" si="31"/>
        <v>-2.8231150217550294E-7</v>
      </c>
    </row>
    <row r="121" spans="1:43" ht="15" hidden="1" thickBot="1" x14ac:dyDescent="0.25">
      <c r="A121" s="10"/>
      <c r="B121" s="9"/>
      <c r="C121" s="8" t="s">
        <v>2</v>
      </c>
      <c r="D121" s="7"/>
      <c r="E121" s="6"/>
      <c r="F121" s="6">
        <f>SUM(F93:F120)</f>
        <v>2434926.999475</v>
      </c>
      <c r="G121" s="5">
        <f>SUM(G113:G114)</f>
        <v>5.5066666666666667E-3</v>
      </c>
      <c r="H121" s="10"/>
      <c r="I121" s="10"/>
      <c r="J121" s="206" t="s">
        <v>2</v>
      </c>
      <c r="K121" s="7"/>
      <c r="L121" s="6"/>
      <c r="M121" s="6">
        <f>SUM(M93:M120)</f>
        <v>1172760.9814650966</v>
      </c>
      <c r="N121" s="5">
        <f>SUM(N113:N114)</f>
        <v>0</v>
      </c>
      <c r="O121" s="10"/>
      <c r="P121" s="9"/>
      <c r="Q121" s="8" t="s">
        <v>2</v>
      </c>
      <c r="R121" s="7"/>
      <c r="S121" s="6"/>
      <c r="T121" s="6">
        <f>SUM(T93:T120)</f>
        <v>5121.2294823803377</v>
      </c>
      <c r="U121" s="5">
        <f>SUM(U113:U114)</f>
        <v>0</v>
      </c>
      <c r="V121" s="10"/>
      <c r="W121" s="9"/>
      <c r="X121" s="8" t="s">
        <v>2</v>
      </c>
      <c r="Y121" s="7"/>
      <c r="Z121" s="6"/>
      <c r="AA121" s="6">
        <f>SUM(AA93:AA120)</f>
        <v>1070087.0663754356</v>
      </c>
      <c r="AB121" s="5">
        <f>SUM(AB113:AB114)</f>
        <v>0</v>
      </c>
      <c r="AC121" s="10"/>
      <c r="AD121" s="9"/>
      <c r="AE121" s="8" t="s">
        <v>2</v>
      </c>
      <c r="AF121" s="7"/>
      <c r="AG121" s="6"/>
      <c r="AH121" s="6">
        <f>SUM(AH93:AH120)</f>
        <v>4919.9430178180983</v>
      </c>
      <c r="AI121" s="5">
        <f>SUM(AI113:AI114)</f>
        <v>0</v>
      </c>
      <c r="AJ121" s="10"/>
      <c r="AK121" s="9"/>
      <c r="AL121" s="8" t="s">
        <v>2</v>
      </c>
      <c r="AM121" s="7"/>
      <c r="AN121" s="6"/>
      <c r="AO121" s="6">
        <f>SUM(AO93:AO120)</f>
        <v>182037.79879536631</v>
      </c>
      <c r="AP121" s="5">
        <f>SUM(AP113:AP114)</f>
        <v>0</v>
      </c>
      <c r="AQ121" s="4">
        <f t="shared" si="31"/>
        <v>0</v>
      </c>
    </row>
    <row r="122" spans="1:43" ht="15" hidden="1" thickBot="1" x14ac:dyDescent="0.25">
      <c r="A122" s="456" t="s">
        <v>1</v>
      </c>
      <c r="B122" s="457"/>
      <c r="C122" s="458"/>
      <c r="D122" s="458"/>
      <c r="E122" s="459"/>
      <c r="F122" s="452">
        <f>F13+F29+F42+F54+F67+F91+F121+F59</f>
        <v>79419999.003173232</v>
      </c>
      <c r="G122" s="454"/>
      <c r="H122" s="456" t="s">
        <v>1</v>
      </c>
      <c r="I122" s="457"/>
      <c r="J122" s="458"/>
      <c r="K122" s="458"/>
      <c r="L122" s="459"/>
      <c r="M122" s="452">
        <f>M13+M29+M42+M54+M67+M91+M121+M59</f>
        <v>37669664.163633719</v>
      </c>
      <c r="N122" s="454"/>
      <c r="O122" s="456" t="s">
        <v>1</v>
      </c>
      <c r="P122" s="457"/>
      <c r="Q122" s="458"/>
      <c r="R122" s="458"/>
      <c r="S122" s="459"/>
      <c r="T122" s="452">
        <f>T13+T29+T42+T54+T67+T91+T121+T59</f>
        <v>164496.35254861886</v>
      </c>
      <c r="U122" s="454"/>
      <c r="V122" s="456" t="s">
        <v>1</v>
      </c>
      <c r="W122" s="457"/>
      <c r="X122" s="458"/>
      <c r="Y122" s="458"/>
      <c r="Z122" s="459"/>
      <c r="AA122" s="452">
        <f>AA13+AA29+AA42+AA54+AA67+AA91+AA121+AA59</f>
        <v>35400860.563696675</v>
      </c>
      <c r="AB122" s="454"/>
      <c r="AC122" s="456" t="s">
        <v>1</v>
      </c>
      <c r="AD122" s="457"/>
      <c r="AE122" s="458"/>
      <c r="AF122" s="458"/>
      <c r="AG122" s="459"/>
      <c r="AH122" s="452">
        <f>AH13+AH29+AH42+AH54+AH67+AH91+AH121+AH59</f>
        <v>162762.57978711117</v>
      </c>
      <c r="AI122" s="454"/>
      <c r="AJ122" s="456" t="s">
        <v>1</v>
      </c>
      <c r="AK122" s="457"/>
      <c r="AL122" s="458"/>
      <c r="AM122" s="458"/>
      <c r="AN122" s="459"/>
      <c r="AO122" s="452">
        <f>AO13+AO29+AO42+AO54+AO67+AO91+AO121+AO59</f>
        <v>6022215.3592592096</v>
      </c>
      <c r="AP122" s="454"/>
      <c r="AQ122" s="4">
        <f t="shared" si="31"/>
        <v>0</v>
      </c>
    </row>
    <row r="123" spans="1:43" ht="15" hidden="1" thickBot="1" x14ac:dyDescent="0.25">
      <c r="A123" s="461" t="s">
        <v>0</v>
      </c>
      <c r="B123" s="462"/>
      <c r="C123" s="462"/>
      <c r="D123" s="462"/>
      <c r="E123" s="460"/>
      <c r="F123" s="453"/>
      <c r="G123" s="455"/>
      <c r="H123" s="461" t="s">
        <v>0</v>
      </c>
      <c r="I123" s="462"/>
      <c r="J123" s="462"/>
      <c r="K123" s="462"/>
      <c r="L123" s="460"/>
      <c r="M123" s="453"/>
      <c r="N123" s="455"/>
      <c r="O123" s="461" t="s">
        <v>0</v>
      </c>
      <c r="P123" s="462"/>
      <c r="Q123" s="462"/>
      <c r="R123" s="462"/>
      <c r="S123" s="460"/>
      <c r="T123" s="453"/>
      <c r="U123" s="455"/>
      <c r="V123" s="461" t="s">
        <v>0</v>
      </c>
      <c r="W123" s="462"/>
      <c r="X123" s="462"/>
      <c r="Y123" s="462"/>
      <c r="Z123" s="460"/>
      <c r="AA123" s="453"/>
      <c r="AB123" s="455"/>
      <c r="AC123" s="461" t="s">
        <v>0</v>
      </c>
      <c r="AD123" s="462"/>
      <c r="AE123" s="462"/>
      <c r="AF123" s="462"/>
      <c r="AG123" s="460"/>
      <c r="AH123" s="453"/>
      <c r="AI123" s="455"/>
      <c r="AJ123" s="461" t="s">
        <v>0</v>
      </c>
      <c r="AK123" s="462"/>
      <c r="AL123" s="462"/>
      <c r="AM123" s="462"/>
      <c r="AN123" s="460"/>
      <c r="AO123" s="453"/>
      <c r="AP123" s="455"/>
      <c r="AQ123" s="4">
        <f t="shared" si="31"/>
        <v>0</v>
      </c>
    </row>
    <row r="124" spans="1:43" hidden="1" x14ac:dyDescent="0.2"/>
    <row r="125" spans="1:43" x14ac:dyDescent="0.2">
      <c r="F125" s="2">
        <f>F121-F116</f>
        <v>1876767.0014749998</v>
      </c>
      <c r="M125" s="3">
        <v>37669664.158881456</v>
      </c>
      <c r="T125" s="3">
        <v>164496.35003878365</v>
      </c>
      <c r="AA125" s="3">
        <v>35400860.55780752</v>
      </c>
      <c r="AH125" s="3">
        <v>162762.57727727597</v>
      </c>
      <c r="AO125" s="3">
        <v>6022215.3592592105</v>
      </c>
      <c r="AP125" s="3">
        <f>($F$121-$F$116)/$G$2*L2</f>
        <v>143028.58713609679</v>
      </c>
    </row>
    <row r="126" spans="1:43" x14ac:dyDescent="0.2">
      <c r="M126" s="2">
        <f>M125-M122</f>
        <v>-4.7522634267807007E-3</v>
      </c>
      <c r="N126" s="1">
        <v>885230.99</v>
      </c>
      <c r="T126" s="2">
        <f>T125-T122</f>
        <v>-2.5098352052737027E-3</v>
      </c>
      <c r="U126" s="1">
        <v>3865.64</v>
      </c>
      <c r="AA126" s="2">
        <f>AA125-AA122</f>
        <v>-5.8891549706459045E-3</v>
      </c>
      <c r="AB126" s="1">
        <v>840776.16</v>
      </c>
      <c r="AH126" s="2">
        <f>AH125-AH122</f>
        <v>-2.5098352052737027E-3</v>
      </c>
      <c r="AI126" s="1">
        <v>3865.64</v>
      </c>
      <c r="AO126" s="2">
        <f>AO125-AO122</f>
        <v>0</v>
      </c>
    </row>
    <row r="127" spans="1:43" x14ac:dyDescent="0.2">
      <c r="F127" s="3">
        <v>79419999</v>
      </c>
    </row>
    <row r="128" spans="1:43" x14ac:dyDescent="0.2">
      <c r="F128" s="2">
        <f>F127-F122</f>
        <v>-3.1732320785522461E-3</v>
      </c>
      <c r="M128" s="2"/>
    </row>
  </sheetData>
  <mergeCells count="115">
    <mergeCell ref="K6:N6"/>
    <mergeCell ref="H10:H13"/>
    <mergeCell ref="Q14:U14"/>
    <mergeCell ref="X14:AB14"/>
    <mergeCell ref="A10:A114"/>
    <mergeCell ref="B10:B32"/>
    <mergeCell ref="C10:G10"/>
    <mergeCell ref="I10:I32"/>
    <mergeCell ref="J10:N10"/>
    <mergeCell ref="C11:G11"/>
    <mergeCell ref="J11:N11"/>
    <mergeCell ref="C14:G14"/>
    <mergeCell ref="J14:N14"/>
    <mergeCell ref="C30:G30"/>
    <mergeCell ref="J30:N30"/>
    <mergeCell ref="Q30:U30"/>
    <mergeCell ref="X30:AB30"/>
    <mergeCell ref="O10:O114"/>
    <mergeCell ref="P10:P32"/>
    <mergeCell ref="Q10:U10"/>
    <mergeCell ref="V10:V114"/>
    <mergeCell ref="W10:W32"/>
    <mergeCell ref="X10:AB10"/>
    <mergeCell ref="Q11:U11"/>
    <mergeCell ref="X11:AB11"/>
    <mergeCell ref="AE30:AI30"/>
    <mergeCell ref="AL30:AP30"/>
    <mergeCell ref="AC10:AC114"/>
    <mergeCell ref="AD10:AD32"/>
    <mergeCell ref="AE10:AI10"/>
    <mergeCell ref="AJ10:AJ114"/>
    <mergeCell ref="AK10:AK32"/>
    <mergeCell ref="AL10:AP10"/>
    <mergeCell ref="AE11:AI11"/>
    <mergeCell ref="AL11:AP11"/>
    <mergeCell ref="AE14:AI14"/>
    <mergeCell ref="AL14:AP14"/>
    <mergeCell ref="AL34:AP34"/>
    <mergeCell ref="AL55:AP55"/>
    <mergeCell ref="X60:AB60"/>
    <mergeCell ref="AE60:AI60"/>
    <mergeCell ref="AL60:AP60"/>
    <mergeCell ref="X43:AB43"/>
    <mergeCell ref="AE43:AI43"/>
    <mergeCell ref="AL43:AP43"/>
    <mergeCell ref="X55:AB55"/>
    <mergeCell ref="AE55:AI55"/>
    <mergeCell ref="B33:B114"/>
    <mergeCell ref="C33:G33"/>
    <mergeCell ref="I33:I114"/>
    <mergeCell ref="J33:N33"/>
    <mergeCell ref="P33:P114"/>
    <mergeCell ref="Q33:U33"/>
    <mergeCell ref="C34:G34"/>
    <mergeCell ref="J34:N34"/>
    <mergeCell ref="Q34:U34"/>
    <mergeCell ref="C43:G43"/>
    <mergeCell ref="C60:G60"/>
    <mergeCell ref="J60:N60"/>
    <mergeCell ref="Q60:U60"/>
    <mergeCell ref="J43:N43"/>
    <mergeCell ref="Q43:U43"/>
    <mergeCell ref="C55:G55"/>
    <mergeCell ref="J55:N55"/>
    <mergeCell ref="Q55:U55"/>
    <mergeCell ref="W33:W114"/>
    <mergeCell ref="X33:AB33"/>
    <mergeCell ref="AD33:AD114"/>
    <mergeCell ref="AE33:AI33"/>
    <mergeCell ref="AK33:AK114"/>
    <mergeCell ref="AL33:AP33"/>
    <mergeCell ref="X34:AB34"/>
    <mergeCell ref="AE34:AI34"/>
    <mergeCell ref="C92:G92"/>
    <mergeCell ref="J92:N92"/>
    <mergeCell ref="Q92:U92"/>
    <mergeCell ref="X92:AB92"/>
    <mergeCell ref="AE92:AI92"/>
    <mergeCell ref="AL92:AP92"/>
    <mergeCell ref="C68:G68"/>
    <mergeCell ref="J68:N68"/>
    <mergeCell ref="Q68:U68"/>
    <mergeCell ref="X68:AB68"/>
    <mergeCell ref="AE68:AI68"/>
    <mergeCell ref="AL68:AP68"/>
    <mergeCell ref="M122:M123"/>
    <mergeCell ref="N122:N123"/>
    <mergeCell ref="O122:R122"/>
    <mergeCell ref="S122:S123"/>
    <mergeCell ref="T122:T123"/>
    <mergeCell ref="U122:U123"/>
    <mergeCell ref="O123:R123"/>
    <mergeCell ref="A122:D122"/>
    <mergeCell ref="E122:E123"/>
    <mergeCell ref="F122:F123"/>
    <mergeCell ref="G122:G123"/>
    <mergeCell ref="H122:K122"/>
    <mergeCell ref="L122:L123"/>
    <mergeCell ref="A123:D123"/>
    <mergeCell ref="H123:K123"/>
    <mergeCell ref="AH122:AH123"/>
    <mergeCell ref="AI122:AI123"/>
    <mergeCell ref="AJ122:AM122"/>
    <mergeCell ref="AN122:AN123"/>
    <mergeCell ref="AO122:AO123"/>
    <mergeCell ref="AP122:AP123"/>
    <mergeCell ref="AJ123:AM123"/>
    <mergeCell ref="V122:Y122"/>
    <mergeCell ref="Z122:Z123"/>
    <mergeCell ref="AA122:AA123"/>
    <mergeCell ref="AB122:AB123"/>
    <mergeCell ref="AC122:AF122"/>
    <mergeCell ref="AG122:AG123"/>
    <mergeCell ref="V123:Y123"/>
    <mergeCell ref="AC123:AF123"/>
  </mergeCells>
  <pageMargins left="0.78740157480314965" right="0.31496062992125984" top="0.35433070866141736" bottom="0.35433070866141736" header="0.31496062992125984" footer="0.31496062992125984"/>
  <pageSetup paperSize="9" scale="7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I13" sqref="I13"/>
    </sheetView>
  </sheetViews>
  <sheetFormatPr defaultRowHeight="14.25" x14ac:dyDescent="0.2"/>
  <cols>
    <col min="1" max="1" width="19.42578125" style="165" customWidth="1"/>
    <col min="2" max="2" width="9.85546875" style="165" customWidth="1"/>
    <col min="3" max="3" width="22.85546875" style="165" customWidth="1"/>
    <col min="4" max="4" width="21.85546875" style="165" customWidth="1"/>
    <col min="5" max="5" width="18.5703125" style="1" customWidth="1"/>
    <col min="6" max="6" width="18.5703125" style="1" hidden="1" customWidth="1"/>
    <col min="7" max="7" width="21.5703125" style="165" customWidth="1"/>
    <col min="8" max="16384" width="9.140625" style="165"/>
  </cols>
  <sheetData>
    <row r="1" spans="1:8" x14ac:dyDescent="0.2">
      <c r="D1" s="357" t="s">
        <v>180</v>
      </c>
      <c r="E1" s="357"/>
      <c r="F1" s="357"/>
      <c r="G1" s="357"/>
    </row>
    <row r="2" spans="1:8" x14ac:dyDescent="0.2">
      <c r="D2" s="357" t="s">
        <v>166</v>
      </c>
      <c r="E2" s="357"/>
      <c r="F2" s="357"/>
      <c r="G2" s="357"/>
    </row>
    <row r="3" spans="1:8" ht="10.5" customHeight="1" x14ac:dyDescent="0.2">
      <c r="D3" s="357" t="s">
        <v>167</v>
      </c>
      <c r="E3" s="357"/>
      <c r="F3" s="357"/>
      <c r="G3" s="357"/>
    </row>
    <row r="4" spans="1:8" ht="42.75" customHeight="1" x14ac:dyDescent="0.2">
      <c r="D4" s="490" t="s">
        <v>168</v>
      </c>
      <c r="E4" s="490"/>
      <c r="F4" s="490"/>
      <c r="G4" s="490"/>
    </row>
    <row r="5" spans="1:8" ht="15" thickBot="1" x14ac:dyDescent="0.25">
      <c r="H5" s="166"/>
    </row>
    <row r="6" spans="1:8" ht="57.75" thickBot="1" x14ac:dyDescent="0.25">
      <c r="A6" s="167" t="s">
        <v>116</v>
      </c>
      <c r="B6" s="168" t="s">
        <v>115</v>
      </c>
      <c r="C6" s="168" t="s">
        <v>114</v>
      </c>
      <c r="D6" s="168" t="s">
        <v>113</v>
      </c>
      <c r="E6" s="138" t="s">
        <v>112</v>
      </c>
      <c r="F6" s="138" t="s">
        <v>111</v>
      </c>
      <c r="G6" s="168" t="s">
        <v>110</v>
      </c>
    </row>
    <row r="7" spans="1:8" ht="15" thickBot="1" x14ac:dyDescent="0.25">
      <c r="A7" s="356">
        <v>1</v>
      </c>
      <c r="B7" s="170">
        <v>2</v>
      </c>
      <c r="C7" s="309">
        <v>3</v>
      </c>
      <c r="D7" s="309">
        <v>4</v>
      </c>
      <c r="E7" s="310">
        <v>5</v>
      </c>
      <c r="F7" s="310"/>
      <c r="G7" s="309">
        <v>6</v>
      </c>
    </row>
    <row r="8" spans="1:8" ht="27" customHeight="1" thickBot="1" x14ac:dyDescent="0.25">
      <c r="A8" s="535" t="s">
        <v>146</v>
      </c>
      <c r="B8" s="538" t="s">
        <v>169</v>
      </c>
      <c r="C8" s="549" t="s">
        <v>100</v>
      </c>
      <c r="D8" s="526"/>
      <c r="E8" s="526"/>
      <c r="F8" s="526"/>
      <c r="G8" s="527"/>
    </row>
    <row r="9" spans="1:8" ht="17.25" customHeight="1" x14ac:dyDescent="0.2">
      <c r="A9" s="536"/>
      <c r="B9" s="558"/>
      <c r="C9" s="559" t="s">
        <v>99</v>
      </c>
      <c r="D9" s="560"/>
      <c r="E9" s="560"/>
      <c r="F9" s="560"/>
      <c r="G9" s="561"/>
    </row>
    <row r="10" spans="1:8" ht="28.5" hidden="1" customHeight="1" x14ac:dyDescent="0.2">
      <c r="A10" s="536"/>
      <c r="B10" s="558"/>
      <c r="C10" s="413" t="s">
        <v>98</v>
      </c>
      <c r="D10" s="172" t="s">
        <v>37</v>
      </c>
      <c r="E10" s="31"/>
      <c r="F10" s="32"/>
      <c r="G10" s="183"/>
    </row>
    <row r="11" spans="1:8" ht="15" thickBot="1" x14ac:dyDescent="0.25">
      <c r="A11" s="536"/>
      <c r="B11" s="558"/>
      <c r="C11" s="414" t="s">
        <v>97</v>
      </c>
      <c r="D11" s="415" t="s">
        <v>37</v>
      </c>
      <c r="E11" s="224" t="s">
        <v>140</v>
      </c>
      <c r="F11" s="226">
        <f>SUM(F10)</f>
        <v>0</v>
      </c>
      <c r="G11" s="416" t="s">
        <v>140</v>
      </c>
    </row>
    <row r="12" spans="1:8" ht="39.75" customHeight="1" x14ac:dyDescent="0.2">
      <c r="A12" s="536"/>
      <c r="B12" s="539"/>
      <c r="C12" s="544" t="s">
        <v>96</v>
      </c>
      <c r="D12" s="544"/>
      <c r="E12" s="544"/>
      <c r="F12" s="544"/>
      <c r="G12" s="545"/>
    </row>
    <row r="13" spans="1:8" x14ac:dyDescent="0.2">
      <c r="A13" s="536"/>
      <c r="B13" s="539"/>
      <c r="C13" s="172" t="s">
        <v>128</v>
      </c>
      <c r="D13" s="172" t="s">
        <v>129</v>
      </c>
      <c r="E13" s="174">
        <v>937.2</v>
      </c>
      <c r="F13" s="32">
        <v>58386.6</v>
      </c>
      <c r="G13" s="183" t="s">
        <v>165</v>
      </c>
    </row>
    <row r="14" spans="1:8" x14ac:dyDescent="0.2">
      <c r="A14" s="536"/>
      <c r="B14" s="539"/>
      <c r="C14" s="172" t="s">
        <v>133</v>
      </c>
      <c r="D14" s="172" t="s">
        <v>134</v>
      </c>
      <c r="E14" s="145">
        <v>30</v>
      </c>
      <c r="F14" s="32">
        <v>1345.47</v>
      </c>
      <c r="G14" s="183" t="s">
        <v>165</v>
      </c>
    </row>
    <row r="15" spans="1:8" ht="15" thickBot="1" x14ac:dyDescent="0.25">
      <c r="A15" s="536"/>
      <c r="B15" s="539"/>
      <c r="C15" s="172" t="s">
        <v>135</v>
      </c>
      <c r="D15" s="172" t="s">
        <v>10</v>
      </c>
      <c r="E15" s="145">
        <v>1</v>
      </c>
      <c r="F15" s="32">
        <v>2697.93</v>
      </c>
      <c r="G15" s="183" t="s">
        <v>165</v>
      </c>
    </row>
    <row r="16" spans="1:8" ht="15" hidden="1" thickBot="1" x14ac:dyDescent="0.25">
      <c r="A16" s="536"/>
      <c r="B16" s="539"/>
      <c r="C16" s="406" t="s">
        <v>2</v>
      </c>
      <c r="D16" s="175"/>
      <c r="E16" s="109"/>
      <c r="F16" s="112">
        <f>SUM(F13:F15)</f>
        <v>62430</v>
      </c>
      <c r="G16" s="176"/>
    </row>
    <row r="17" spans="1:7" ht="15" customHeight="1" thickBot="1" x14ac:dyDescent="0.25">
      <c r="A17" s="536"/>
      <c r="B17" s="539"/>
      <c r="C17" s="549" t="s">
        <v>81</v>
      </c>
      <c r="D17" s="526"/>
      <c r="E17" s="526"/>
      <c r="F17" s="526"/>
      <c r="G17" s="527"/>
    </row>
    <row r="18" spans="1:7" ht="15" thickBot="1" x14ac:dyDescent="0.25">
      <c r="A18" s="536"/>
      <c r="B18" s="558"/>
      <c r="C18" s="417" t="s">
        <v>140</v>
      </c>
      <c r="D18" s="417" t="s">
        <v>140</v>
      </c>
      <c r="E18" s="418" t="s">
        <v>140</v>
      </c>
      <c r="F18" s="418"/>
      <c r="G18" s="438" t="s">
        <v>140</v>
      </c>
    </row>
    <row r="19" spans="1:7" ht="15" hidden="1" customHeight="1" thickBot="1" x14ac:dyDescent="0.25">
      <c r="A19" s="536"/>
      <c r="B19" s="539"/>
      <c r="C19" s="171"/>
      <c r="D19" s="171"/>
      <c r="E19" s="38"/>
      <c r="F19" s="38"/>
      <c r="G19" s="171"/>
    </row>
    <row r="20" spans="1:7" ht="15" customHeight="1" thickBot="1" x14ac:dyDescent="0.25">
      <c r="A20" s="536"/>
      <c r="B20" s="539"/>
      <c r="C20" s="526" t="s">
        <v>80</v>
      </c>
      <c r="D20" s="526"/>
      <c r="E20" s="526"/>
      <c r="F20" s="526"/>
      <c r="G20" s="527"/>
    </row>
    <row r="21" spans="1:7" x14ac:dyDescent="0.2">
      <c r="A21" s="536"/>
      <c r="B21" s="539"/>
      <c r="C21" s="550" t="s">
        <v>79</v>
      </c>
      <c r="D21" s="550"/>
      <c r="E21" s="550"/>
      <c r="F21" s="550"/>
      <c r="G21" s="551"/>
    </row>
    <row r="22" spans="1:7" ht="15" thickBot="1" x14ac:dyDescent="0.25">
      <c r="A22" s="536"/>
      <c r="B22" s="540"/>
      <c r="C22" s="407" t="s">
        <v>78</v>
      </c>
      <c r="D22" s="177" t="s">
        <v>77</v>
      </c>
      <c r="E22" s="419" t="s">
        <v>140</v>
      </c>
      <c r="F22" s="420"/>
      <c r="G22" s="439" t="s">
        <v>140</v>
      </c>
    </row>
    <row r="23" spans="1:7" ht="15" customHeight="1" x14ac:dyDescent="0.2">
      <c r="A23" s="536"/>
      <c r="B23" s="546"/>
      <c r="C23" s="148" t="s">
        <v>76</v>
      </c>
      <c r="D23" s="152" t="s">
        <v>75</v>
      </c>
      <c r="E23" s="421" t="s">
        <v>140</v>
      </c>
      <c r="F23" s="420"/>
      <c r="G23" s="440" t="s">
        <v>140</v>
      </c>
    </row>
    <row r="24" spans="1:7" x14ac:dyDescent="0.2">
      <c r="A24" s="536"/>
      <c r="B24" s="547"/>
      <c r="C24" s="148" t="s">
        <v>74</v>
      </c>
      <c r="D24" s="152" t="s">
        <v>69</v>
      </c>
      <c r="E24" s="421" t="s">
        <v>140</v>
      </c>
      <c r="F24" s="420"/>
      <c r="G24" s="440" t="s">
        <v>140</v>
      </c>
    </row>
    <row r="25" spans="1:7" s="178" customFormat="1" ht="25.5" x14ac:dyDescent="0.2">
      <c r="A25" s="536"/>
      <c r="B25" s="547"/>
      <c r="C25" s="408" t="s">
        <v>73</v>
      </c>
      <c r="D25" s="152" t="s">
        <v>69</v>
      </c>
      <c r="E25" s="421" t="s">
        <v>140</v>
      </c>
      <c r="F25" s="420"/>
      <c r="G25" s="440" t="s">
        <v>140</v>
      </c>
    </row>
    <row r="26" spans="1:7" s="178" customFormat="1" x14ac:dyDescent="0.2">
      <c r="A26" s="536"/>
      <c r="B26" s="547"/>
      <c r="C26" s="148" t="s">
        <v>72</v>
      </c>
      <c r="D26" s="152" t="s">
        <v>69</v>
      </c>
      <c r="E26" s="419" t="s">
        <v>140</v>
      </c>
      <c r="F26" s="422"/>
      <c r="G26" s="440" t="s">
        <v>140</v>
      </c>
    </row>
    <row r="27" spans="1:7" s="178" customFormat="1" ht="25.5" x14ac:dyDescent="0.2">
      <c r="A27" s="536"/>
      <c r="B27" s="547"/>
      <c r="C27" s="148" t="s">
        <v>71</v>
      </c>
      <c r="D27" s="152" t="s">
        <v>69</v>
      </c>
      <c r="E27" s="421" t="s">
        <v>140</v>
      </c>
      <c r="F27" s="420"/>
      <c r="G27" s="440" t="s">
        <v>140</v>
      </c>
    </row>
    <row r="28" spans="1:7" s="178" customFormat="1" ht="15" thickBot="1" x14ac:dyDescent="0.25">
      <c r="A28" s="536"/>
      <c r="B28" s="547"/>
      <c r="C28" s="148" t="s">
        <v>70</v>
      </c>
      <c r="D28" s="152" t="s">
        <v>69</v>
      </c>
      <c r="E28" s="421" t="s">
        <v>140</v>
      </c>
      <c r="F28" s="420"/>
      <c r="G28" s="440" t="s">
        <v>140</v>
      </c>
    </row>
    <row r="29" spans="1:7" s="178" customFormat="1" ht="15" hidden="1" thickBot="1" x14ac:dyDescent="0.25">
      <c r="A29" s="536"/>
      <c r="B29" s="547"/>
      <c r="C29" s="406" t="s">
        <v>2</v>
      </c>
      <c r="D29" s="175"/>
      <c r="E29" s="109"/>
      <c r="F29" s="112">
        <f>SUM(F22:F28)</f>
        <v>0</v>
      </c>
      <c r="G29" s="176"/>
    </row>
    <row r="30" spans="1:7" s="178" customFormat="1" ht="15" customHeight="1" thickBot="1" x14ac:dyDescent="0.25">
      <c r="A30" s="536"/>
      <c r="B30" s="547"/>
      <c r="C30" s="549" t="s">
        <v>68</v>
      </c>
      <c r="D30" s="526"/>
      <c r="E30" s="526"/>
      <c r="F30" s="526"/>
      <c r="G30" s="527"/>
    </row>
    <row r="31" spans="1:7" s="178" customFormat="1" ht="15" thickBot="1" x14ac:dyDescent="0.25">
      <c r="A31" s="536"/>
      <c r="B31" s="547"/>
      <c r="C31" s="428" t="s">
        <v>140</v>
      </c>
      <c r="D31" s="429" t="s">
        <v>140</v>
      </c>
      <c r="E31" s="430" t="s">
        <v>140</v>
      </c>
      <c r="F31" s="431"/>
      <c r="G31" s="432" t="s">
        <v>140</v>
      </c>
    </row>
    <row r="32" spans="1:7" ht="15" hidden="1" thickBot="1" x14ac:dyDescent="0.25">
      <c r="A32" s="536"/>
      <c r="B32" s="547"/>
      <c r="C32" s="409" t="s">
        <v>2</v>
      </c>
      <c r="D32" s="179"/>
      <c r="E32" s="354"/>
      <c r="F32" s="82">
        <f>SUM(F31:F31)</f>
        <v>0</v>
      </c>
      <c r="G32" s="180"/>
    </row>
    <row r="33" spans="1:7" ht="15" customHeight="1" thickBot="1" x14ac:dyDescent="0.25">
      <c r="A33" s="536"/>
      <c r="B33" s="547"/>
      <c r="C33" s="552" t="s">
        <v>53</v>
      </c>
      <c r="D33" s="553"/>
      <c r="E33" s="553"/>
      <c r="F33" s="553"/>
      <c r="G33" s="554"/>
    </row>
    <row r="34" spans="1:7" ht="15" thickBot="1" x14ac:dyDescent="0.25">
      <c r="A34" s="536"/>
      <c r="B34" s="547"/>
      <c r="C34" s="423" t="s">
        <v>140</v>
      </c>
      <c r="D34" s="424" t="s">
        <v>140</v>
      </c>
      <c r="E34" s="425" t="s">
        <v>140</v>
      </c>
      <c r="F34" s="426"/>
      <c r="G34" s="427" t="s">
        <v>140</v>
      </c>
    </row>
    <row r="35" spans="1:7" ht="15" hidden="1" thickBot="1" x14ac:dyDescent="0.25">
      <c r="A35" s="536"/>
      <c r="B35" s="547"/>
      <c r="C35" s="184" t="s">
        <v>2</v>
      </c>
      <c r="D35" s="185"/>
      <c r="E35" s="69"/>
      <c r="F35" s="52">
        <f>SUM(F34:F34)</f>
        <v>0</v>
      </c>
      <c r="G35" s="186"/>
    </row>
    <row r="36" spans="1:7" ht="15" customHeight="1" thickBot="1" x14ac:dyDescent="0.25">
      <c r="A36" s="536"/>
      <c r="B36" s="547"/>
      <c r="C36" s="555" t="s">
        <v>49</v>
      </c>
      <c r="D36" s="556"/>
      <c r="E36" s="556"/>
      <c r="F36" s="556"/>
      <c r="G36" s="557"/>
    </row>
    <row r="37" spans="1:7" ht="27" customHeight="1" x14ac:dyDescent="0.2">
      <c r="A37" s="536"/>
      <c r="B37" s="547"/>
      <c r="C37" s="410" t="s">
        <v>48</v>
      </c>
      <c r="D37" s="187" t="s">
        <v>44</v>
      </c>
      <c r="E37" s="66" t="s">
        <v>140</v>
      </c>
      <c r="F37" s="65"/>
      <c r="G37" s="432" t="s">
        <v>140</v>
      </c>
    </row>
    <row r="38" spans="1:7" ht="51" x14ac:dyDescent="0.2">
      <c r="A38" s="536"/>
      <c r="B38" s="547"/>
      <c r="C38" s="411" t="s">
        <v>47</v>
      </c>
      <c r="D38" s="182" t="s">
        <v>44</v>
      </c>
      <c r="E38" s="61" t="s">
        <v>140</v>
      </c>
      <c r="F38" s="60"/>
      <c r="G38" s="412" t="s">
        <v>140</v>
      </c>
    </row>
    <row r="39" spans="1:7" ht="25.5" x14ac:dyDescent="0.2">
      <c r="A39" s="536"/>
      <c r="B39" s="547"/>
      <c r="C39" s="411" t="s">
        <v>46</v>
      </c>
      <c r="D39" s="182" t="s">
        <v>44</v>
      </c>
      <c r="E39" s="61" t="s">
        <v>140</v>
      </c>
      <c r="F39" s="60"/>
      <c r="G39" s="412" t="s">
        <v>140</v>
      </c>
    </row>
    <row r="40" spans="1:7" ht="25.5" x14ac:dyDescent="0.2">
      <c r="A40" s="536"/>
      <c r="B40" s="547"/>
      <c r="C40" s="411" t="s">
        <v>45</v>
      </c>
      <c r="D40" s="182" t="s">
        <v>44</v>
      </c>
      <c r="E40" s="61" t="s">
        <v>140</v>
      </c>
      <c r="F40" s="60"/>
      <c r="G40" s="412" t="s">
        <v>140</v>
      </c>
    </row>
    <row r="41" spans="1:7" ht="25.5" x14ac:dyDescent="0.2">
      <c r="A41" s="536"/>
      <c r="B41" s="547"/>
      <c r="C41" s="411" t="s">
        <v>130</v>
      </c>
      <c r="D41" s="182" t="s">
        <v>44</v>
      </c>
      <c r="E41" s="61" t="s">
        <v>140</v>
      </c>
      <c r="F41" s="60"/>
      <c r="G41" s="412" t="s">
        <v>140</v>
      </c>
    </row>
    <row r="42" spans="1:7" x14ac:dyDescent="0.2">
      <c r="A42" s="536"/>
      <c r="B42" s="547"/>
      <c r="C42" s="411" t="s">
        <v>43</v>
      </c>
      <c r="D42" s="182" t="s">
        <v>42</v>
      </c>
      <c r="E42" s="61" t="s">
        <v>140</v>
      </c>
      <c r="F42" s="60"/>
      <c r="G42" s="412" t="s">
        <v>140</v>
      </c>
    </row>
    <row r="43" spans="1:7" ht="26.25" thickBot="1" x14ac:dyDescent="0.25">
      <c r="A43" s="536"/>
      <c r="B43" s="547"/>
      <c r="C43" s="411" t="s">
        <v>41</v>
      </c>
      <c r="D43" s="182" t="s">
        <v>40</v>
      </c>
      <c r="E43" s="61" t="s">
        <v>140</v>
      </c>
      <c r="F43" s="60"/>
      <c r="G43" s="412" t="s">
        <v>140</v>
      </c>
    </row>
    <row r="44" spans="1:7" ht="15" hidden="1" thickBot="1" x14ac:dyDescent="0.25">
      <c r="A44" s="536"/>
      <c r="B44" s="547"/>
      <c r="C44" s="188"/>
      <c r="D44" s="189"/>
      <c r="E44" s="52"/>
      <c r="F44" s="6"/>
      <c r="G44" s="190"/>
    </row>
    <row r="45" spans="1:7" ht="31.5" customHeight="1" thickBot="1" x14ac:dyDescent="0.25">
      <c r="A45" s="536"/>
      <c r="B45" s="547"/>
      <c r="C45" s="514" t="s">
        <v>39</v>
      </c>
      <c r="D45" s="504"/>
      <c r="E45" s="504"/>
      <c r="F45" s="504"/>
      <c r="G45" s="505"/>
    </row>
    <row r="46" spans="1:7" ht="87.75" customHeight="1" thickBot="1" x14ac:dyDescent="0.25">
      <c r="A46" s="536"/>
      <c r="B46" s="547"/>
      <c r="C46" s="433" t="s">
        <v>38</v>
      </c>
      <c r="D46" s="355" t="s">
        <v>37</v>
      </c>
      <c r="E46" s="310" t="s">
        <v>140</v>
      </c>
      <c r="F46" s="434"/>
      <c r="G46" s="309" t="s">
        <v>140</v>
      </c>
    </row>
    <row r="47" spans="1:7" ht="15" customHeight="1" thickBot="1" x14ac:dyDescent="0.25">
      <c r="A47" s="536"/>
      <c r="B47" s="547"/>
      <c r="C47" s="549" t="s">
        <v>36</v>
      </c>
      <c r="D47" s="526"/>
      <c r="E47" s="526"/>
      <c r="F47" s="526"/>
      <c r="G47" s="527"/>
    </row>
    <row r="48" spans="1:7" ht="153.75" thickBot="1" x14ac:dyDescent="0.25">
      <c r="A48" s="537"/>
      <c r="B48" s="548"/>
      <c r="C48" s="441" t="s">
        <v>138</v>
      </c>
      <c r="D48" s="442" t="s">
        <v>3</v>
      </c>
      <c r="E48" s="390">
        <v>10</v>
      </c>
      <c r="F48" s="390">
        <f>354900-8400</f>
        <v>346500</v>
      </c>
      <c r="G48" s="443" t="s">
        <v>165</v>
      </c>
    </row>
    <row r="49" spans="1:7" ht="15" hidden="1" thickBot="1" x14ac:dyDescent="0.25">
      <c r="A49" s="191"/>
      <c r="B49" s="192"/>
      <c r="C49" s="435" t="s">
        <v>2</v>
      </c>
      <c r="D49" s="436"/>
      <c r="E49" s="302"/>
      <c r="F49" s="302" t="e">
        <f>SUM(#REF!)</f>
        <v>#REF!</v>
      </c>
      <c r="G49" s="437"/>
    </row>
    <row r="50" spans="1:7" ht="15" hidden="1" thickBot="1" x14ac:dyDescent="0.25">
      <c r="A50" s="528" t="s">
        <v>1</v>
      </c>
      <c r="B50" s="529"/>
      <c r="C50" s="530"/>
      <c r="D50" s="530"/>
      <c r="E50" s="459"/>
      <c r="F50" s="452" t="e">
        <f>F11+F19+F32+F35+#REF!+#REF!+F49+F38</f>
        <v>#REF!</v>
      </c>
      <c r="G50" s="531"/>
    </row>
    <row r="51" spans="1:7" ht="15" hidden="1" thickBot="1" x14ac:dyDescent="0.25">
      <c r="A51" s="533" t="s">
        <v>0</v>
      </c>
      <c r="B51" s="534"/>
      <c r="C51" s="534"/>
      <c r="D51" s="534"/>
      <c r="E51" s="460"/>
      <c r="F51" s="453"/>
      <c r="G51" s="532"/>
    </row>
    <row r="52" spans="1:7" x14ac:dyDescent="0.2">
      <c r="F52" s="3">
        <v>1088205</v>
      </c>
    </row>
    <row r="53" spans="1:7" x14ac:dyDescent="0.2">
      <c r="F53" s="2" t="e">
        <f>F52-F50</f>
        <v>#REF!</v>
      </c>
    </row>
    <row r="55" spans="1:7" x14ac:dyDescent="0.2">
      <c r="F55" s="3"/>
    </row>
    <row r="56" spans="1:7" x14ac:dyDescent="0.2">
      <c r="F56" s="2"/>
    </row>
  </sheetData>
  <mergeCells count="20">
    <mergeCell ref="D4:G4"/>
    <mergeCell ref="A8:A48"/>
    <mergeCell ref="B8:B22"/>
    <mergeCell ref="C8:G8"/>
    <mergeCell ref="C9:G9"/>
    <mergeCell ref="C12:G12"/>
    <mergeCell ref="C20:G20"/>
    <mergeCell ref="B23:B48"/>
    <mergeCell ref="C47:G47"/>
    <mergeCell ref="A50:D50"/>
    <mergeCell ref="E50:E51"/>
    <mergeCell ref="F50:F51"/>
    <mergeCell ref="G50:G51"/>
    <mergeCell ref="A51:D51"/>
    <mergeCell ref="C17:G17"/>
    <mergeCell ref="C21:G21"/>
    <mergeCell ref="C30:G30"/>
    <mergeCell ref="C45:G45"/>
    <mergeCell ref="C33:G33"/>
    <mergeCell ref="C36:G36"/>
  </mergeCells>
  <pageMargins left="0.70866141732283472" right="0.70866141732283472" top="0.74803149606299213" bottom="0.35433070866141736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5"/>
  <sheetViews>
    <sheetView view="pageBreakPreview" topLeftCell="O1" zoomScaleNormal="100" zoomScaleSheetLayoutView="100" workbookViewId="0">
      <pane ySplit="6" topLeftCell="A7" activePane="bottomLeft" state="frozen"/>
      <selection activeCell="B1" sqref="B1"/>
      <selection pane="bottomLeft" activeCell="R2" sqref="R2"/>
    </sheetView>
  </sheetViews>
  <sheetFormatPr defaultRowHeight="14.25" outlineLevelRow="1" outlineLevelCol="1" x14ac:dyDescent="0.2"/>
  <cols>
    <col min="1" max="1" width="20.5703125" style="1" hidden="1" customWidth="1" outlineLevel="1"/>
    <col min="2" max="2" width="9.85546875" style="1" hidden="1" customWidth="1" outlineLevel="1"/>
    <col min="3" max="3" width="26.140625" style="1" hidden="1" customWidth="1" outlineLevel="1"/>
    <col min="4" max="4" width="21.85546875" style="1" hidden="1" customWidth="1" outlineLevel="1"/>
    <col min="5" max="6" width="18.5703125" style="1" hidden="1" customWidth="1" outlineLevel="1"/>
    <col min="7" max="7" width="21.5703125" style="1" hidden="1" customWidth="1" outlineLevel="1"/>
    <col min="8" max="8" width="20.5703125" style="1" hidden="1" customWidth="1"/>
    <col min="9" max="9" width="9.85546875" style="1" hidden="1" customWidth="1"/>
    <col min="10" max="10" width="26.140625" style="1" hidden="1" customWidth="1"/>
    <col min="11" max="11" width="21.85546875" style="1" hidden="1" customWidth="1"/>
    <col min="12" max="13" width="18.5703125" style="1" hidden="1" customWidth="1"/>
    <col min="14" max="14" width="21.5703125" style="1" hidden="1" customWidth="1"/>
    <col min="15" max="15" width="17.7109375" style="1" customWidth="1"/>
    <col min="16" max="16" width="17.28515625" style="1" customWidth="1"/>
    <col min="17" max="17" width="29.140625" style="1" customWidth="1"/>
    <col min="18" max="18" width="21.5703125" style="1" customWidth="1"/>
    <col min="19" max="19" width="14.140625" style="1" customWidth="1"/>
    <col min="20" max="20" width="21.5703125" style="1" hidden="1" customWidth="1"/>
    <col min="21" max="21" width="22.42578125" style="1" customWidth="1"/>
    <col min="22" max="22" width="18.5703125" style="1" hidden="1" customWidth="1"/>
    <col min="23" max="23" width="15.7109375" style="1" hidden="1" customWidth="1"/>
    <col min="24" max="24" width="25.28515625" style="1" hidden="1" customWidth="1"/>
    <col min="25" max="25" width="19" style="1" hidden="1" customWidth="1"/>
    <col min="26" max="26" width="15.7109375" style="1" hidden="1" customWidth="1"/>
    <col min="27" max="27" width="23" style="1" hidden="1" customWidth="1"/>
    <col min="28" max="28" width="13.140625" style="1" hidden="1" customWidth="1"/>
    <col min="29" max="29" width="19.5703125" style="1" hidden="1" customWidth="1"/>
    <col min="30" max="30" width="17.42578125" style="1" hidden="1" customWidth="1"/>
    <col min="31" max="31" width="32.42578125" style="1" hidden="1" customWidth="1"/>
    <col min="32" max="33" width="13.140625" style="1" hidden="1" customWidth="1"/>
    <col min="34" max="34" width="22.42578125" style="1" hidden="1" customWidth="1"/>
    <col min="35" max="35" width="16" style="1" hidden="1" customWidth="1"/>
    <col min="36" max="36" width="15.7109375" style="1" hidden="1" customWidth="1"/>
    <col min="37" max="37" width="16" style="1" hidden="1" customWidth="1"/>
    <col min="38" max="38" width="29.28515625" style="1" hidden="1" customWidth="1"/>
    <col min="39" max="40" width="16" style="1" hidden="1" customWidth="1"/>
    <col min="41" max="41" width="21" style="1" hidden="1" customWidth="1"/>
    <col min="42" max="42" width="19.85546875" style="1" hidden="1" customWidth="1"/>
    <col min="43" max="43" width="16.5703125" style="1" hidden="1" customWidth="1"/>
    <col min="44" max="16384" width="9.140625" style="1"/>
  </cols>
  <sheetData>
    <row r="1" spans="1:44" ht="15" customHeight="1" outlineLevel="1" x14ac:dyDescent="0.25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357" t="s">
        <v>171</v>
      </c>
      <c r="S1" s="357"/>
      <c r="T1" s="357"/>
      <c r="U1" s="357"/>
      <c r="AR1" s="140"/>
    </row>
    <row r="2" spans="1:44" ht="15" outlineLevel="1" x14ac:dyDescent="0.25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SUM(AT2:AX2)</f>
        <v>0</v>
      </c>
      <c r="O2" s="141"/>
      <c r="P2" s="141"/>
      <c r="Q2" s="141"/>
      <c r="R2" s="357" t="s">
        <v>166</v>
      </c>
      <c r="S2" s="357"/>
      <c r="T2" s="357"/>
      <c r="U2" s="357"/>
      <c r="AR2" s="140"/>
    </row>
    <row r="3" spans="1:44" ht="18" customHeight="1" outlineLevel="1" x14ac:dyDescent="0.25">
      <c r="G3" s="141"/>
      <c r="H3" s="141"/>
      <c r="I3" s="141"/>
      <c r="J3" s="141"/>
      <c r="K3" s="141"/>
      <c r="L3" s="141"/>
      <c r="N3" s="141"/>
      <c r="O3" s="141"/>
      <c r="P3" s="141"/>
      <c r="Q3" s="141"/>
      <c r="R3" s="357" t="s">
        <v>167</v>
      </c>
      <c r="S3" s="357"/>
      <c r="T3" s="357"/>
      <c r="U3" s="357"/>
      <c r="AR3" s="140"/>
    </row>
    <row r="4" spans="1:44" ht="41.25" customHeight="1" outlineLevel="1" x14ac:dyDescent="0.25">
      <c r="G4" s="141"/>
      <c r="H4" s="141"/>
      <c r="I4" s="141"/>
      <c r="J4" s="141"/>
      <c r="K4" s="141"/>
      <c r="L4" s="141"/>
      <c r="N4" s="141"/>
      <c r="O4" s="141"/>
      <c r="P4" s="141"/>
      <c r="Q4" s="141"/>
      <c r="R4" s="490" t="s">
        <v>168</v>
      </c>
      <c r="S4" s="490"/>
      <c r="T4" s="490"/>
      <c r="U4" s="490"/>
      <c r="AR4" s="140"/>
    </row>
    <row r="5" spans="1:44" ht="15.75" outlineLevel="1" thickBot="1" x14ac:dyDescent="0.3">
      <c r="G5" s="141"/>
      <c r="H5" s="141"/>
      <c r="I5" s="141"/>
      <c r="J5" s="141"/>
      <c r="K5" s="141"/>
      <c r="L5" s="141"/>
      <c r="N5" s="141"/>
      <c r="O5" s="141"/>
      <c r="P5" s="141"/>
      <c r="Q5" s="141"/>
      <c r="R5" s="141"/>
      <c r="S5" s="141"/>
      <c r="AR5" s="140"/>
    </row>
    <row r="6" spans="1:44" ht="57.75" thickBot="1" x14ac:dyDescent="0.25">
      <c r="A6" s="139" t="s">
        <v>116</v>
      </c>
      <c r="B6" s="138" t="s">
        <v>115</v>
      </c>
      <c r="C6" s="138" t="s">
        <v>114</v>
      </c>
      <c r="D6" s="138" t="s">
        <v>113</v>
      </c>
      <c r="E6" s="138" t="s">
        <v>112</v>
      </c>
      <c r="F6" s="138" t="s">
        <v>111</v>
      </c>
      <c r="G6" s="138" t="s">
        <v>110</v>
      </c>
      <c r="H6" s="139" t="s">
        <v>116</v>
      </c>
      <c r="I6" s="138" t="s">
        <v>115</v>
      </c>
      <c r="J6" s="138" t="s">
        <v>114</v>
      </c>
      <c r="K6" s="138" t="s">
        <v>113</v>
      </c>
      <c r="L6" s="138" t="s">
        <v>112</v>
      </c>
      <c r="M6" s="138" t="s">
        <v>111</v>
      </c>
      <c r="N6" s="138" t="s">
        <v>110</v>
      </c>
      <c r="O6" s="139" t="s">
        <v>116</v>
      </c>
      <c r="P6" s="138" t="s">
        <v>115</v>
      </c>
      <c r="Q6" s="138" t="s">
        <v>114</v>
      </c>
      <c r="R6" s="138" t="s">
        <v>113</v>
      </c>
      <c r="S6" s="138" t="s">
        <v>112</v>
      </c>
      <c r="T6" s="138" t="s">
        <v>111</v>
      </c>
      <c r="U6" s="138" t="s">
        <v>110</v>
      </c>
      <c r="V6" s="139" t="s">
        <v>116</v>
      </c>
      <c r="W6" s="138" t="s">
        <v>115</v>
      </c>
      <c r="X6" s="138" t="s">
        <v>114</v>
      </c>
      <c r="Y6" s="138" t="s">
        <v>113</v>
      </c>
      <c r="Z6" s="138" t="s">
        <v>112</v>
      </c>
      <c r="AA6" s="138" t="s">
        <v>111</v>
      </c>
      <c r="AB6" s="138" t="s">
        <v>110</v>
      </c>
      <c r="AC6" s="139" t="s">
        <v>116</v>
      </c>
      <c r="AD6" s="138" t="s">
        <v>115</v>
      </c>
      <c r="AE6" s="138" t="s">
        <v>114</v>
      </c>
      <c r="AF6" s="138" t="s">
        <v>113</v>
      </c>
      <c r="AG6" s="138" t="s">
        <v>112</v>
      </c>
      <c r="AH6" s="138" t="s">
        <v>111</v>
      </c>
      <c r="AI6" s="138" t="s">
        <v>110</v>
      </c>
      <c r="AJ6" s="139" t="s">
        <v>116</v>
      </c>
      <c r="AK6" s="138" t="s">
        <v>115</v>
      </c>
      <c r="AL6" s="138" t="s">
        <v>114</v>
      </c>
      <c r="AM6" s="138" t="s">
        <v>113</v>
      </c>
      <c r="AN6" s="138" t="s">
        <v>112</v>
      </c>
      <c r="AO6" s="138" t="s">
        <v>111</v>
      </c>
      <c r="AP6" s="138" t="s">
        <v>110</v>
      </c>
    </row>
    <row r="7" spans="1:44" ht="15" thickBot="1" x14ac:dyDescent="0.25">
      <c r="A7" s="137">
        <v>1</v>
      </c>
      <c r="B7" s="136">
        <v>2</v>
      </c>
      <c r="C7" s="136">
        <v>3</v>
      </c>
      <c r="D7" s="136">
        <v>4</v>
      </c>
      <c r="E7" s="136">
        <v>5</v>
      </c>
      <c r="F7" s="136"/>
      <c r="G7" s="136">
        <v>6</v>
      </c>
      <c r="H7" s="137">
        <v>1</v>
      </c>
      <c r="I7" s="136">
        <v>2</v>
      </c>
      <c r="J7" s="136">
        <v>3</v>
      </c>
      <c r="K7" s="136">
        <v>4</v>
      </c>
      <c r="L7" s="136">
        <v>5</v>
      </c>
      <c r="M7" s="136"/>
      <c r="N7" s="136">
        <v>6</v>
      </c>
      <c r="O7" s="137">
        <v>1</v>
      </c>
      <c r="P7" s="136">
        <v>2</v>
      </c>
      <c r="Q7" s="136">
        <v>3</v>
      </c>
      <c r="R7" s="136">
        <v>4</v>
      </c>
      <c r="S7" s="136">
        <v>5</v>
      </c>
      <c r="T7" s="136"/>
      <c r="U7" s="136">
        <v>6</v>
      </c>
      <c r="V7" s="137">
        <v>1</v>
      </c>
      <c r="W7" s="136">
        <v>2</v>
      </c>
      <c r="X7" s="136">
        <v>3</v>
      </c>
      <c r="Y7" s="136">
        <v>4</v>
      </c>
      <c r="Z7" s="136">
        <v>5</v>
      </c>
      <c r="AA7" s="136"/>
      <c r="AB7" s="136">
        <v>6</v>
      </c>
      <c r="AC7" s="137">
        <v>1</v>
      </c>
      <c r="AD7" s="136">
        <v>2</v>
      </c>
      <c r="AE7" s="136">
        <v>3</v>
      </c>
      <c r="AF7" s="136">
        <v>4</v>
      </c>
      <c r="AG7" s="136">
        <v>5</v>
      </c>
      <c r="AH7" s="136"/>
      <c r="AI7" s="136">
        <v>6</v>
      </c>
      <c r="AJ7" s="137">
        <v>1</v>
      </c>
      <c r="AK7" s="136">
        <v>2</v>
      </c>
      <c r="AL7" s="136">
        <v>3</v>
      </c>
      <c r="AM7" s="136">
        <v>4</v>
      </c>
      <c r="AN7" s="136">
        <v>5</v>
      </c>
      <c r="AO7" s="136"/>
      <c r="AP7" s="136">
        <v>6</v>
      </c>
    </row>
    <row r="8" spans="1:44" ht="15" thickBot="1" x14ac:dyDescent="0.25">
      <c r="A8" s="487" t="s">
        <v>109</v>
      </c>
      <c r="B8" s="463" t="s">
        <v>108</v>
      </c>
      <c r="C8" s="466" t="s">
        <v>100</v>
      </c>
      <c r="D8" s="466"/>
      <c r="E8" s="466"/>
      <c r="F8" s="466"/>
      <c r="G8" s="467"/>
      <c r="H8" s="487" t="s">
        <v>109</v>
      </c>
      <c r="I8" s="463" t="s">
        <v>108</v>
      </c>
      <c r="J8" s="466" t="s">
        <v>100</v>
      </c>
      <c r="K8" s="466"/>
      <c r="L8" s="466"/>
      <c r="M8" s="466"/>
      <c r="N8" s="466"/>
      <c r="O8" s="511" t="s">
        <v>141</v>
      </c>
      <c r="P8" s="493" t="s">
        <v>153</v>
      </c>
      <c r="Q8" s="466" t="s">
        <v>100</v>
      </c>
      <c r="R8" s="466"/>
      <c r="S8" s="466"/>
      <c r="T8" s="466"/>
      <c r="U8" s="467"/>
      <c r="V8" s="487" t="s">
        <v>104</v>
      </c>
      <c r="W8" s="463" t="s">
        <v>105</v>
      </c>
      <c r="X8" s="466" t="s">
        <v>100</v>
      </c>
      <c r="Y8" s="466"/>
      <c r="Z8" s="466"/>
      <c r="AA8" s="466"/>
      <c r="AB8" s="467"/>
      <c r="AC8" s="487" t="s">
        <v>104</v>
      </c>
      <c r="AD8" s="463" t="s">
        <v>103</v>
      </c>
      <c r="AE8" s="466" t="s">
        <v>100</v>
      </c>
      <c r="AF8" s="466"/>
      <c r="AG8" s="466"/>
      <c r="AH8" s="466"/>
      <c r="AI8" s="467"/>
      <c r="AJ8" s="487" t="s">
        <v>102</v>
      </c>
      <c r="AK8" s="463" t="s">
        <v>101</v>
      </c>
      <c r="AL8" s="466" t="s">
        <v>100</v>
      </c>
      <c r="AM8" s="466"/>
      <c r="AN8" s="466"/>
      <c r="AO8" s="466"/>
      <c r="AP8" s="467"/>
    </row>
    <row r="9" spans="1:44" ht="15" thickBot="1" x14ac:dyDescent="0.25">
      <c r="A9" s="488"/>
      <c r="B9" s="464"/>
      <c r="C9" s="466" t="s">
        <v>99</v>
      </c>
      <c r="D9" s="468"/>
      <c r="E9" s="466"/>
      <c r="F9" s="466"/>
      <c r="G9" s="467"/>
      <c r="H9" s="488"/>
      <c r="I9" s="464"/>
      <c r="J9" s="466" t="s">
        <v>99</v>
      </c>
      <c r="K9" s="466"/>
      <c r="L9" s="466"/>
      <c r="M9" s="468"/>
      <c r="N9" s="466"/>
      <c r="O9" s="512"/>
      <c r="P9" s="494"/>
      <c r="Q9" s="468" t="s">
        <v>99</v>
      </c>
      <c r="R9" s="468"/>
      <c r="S9" s="468"/>
      <c r="T9" s="468"/>
      <c r="U9" s="469"/>
      <c r="V9" s="488"/>
      <c r="W9" s="464"/>
      <c r="X9" s="466" t="s">
        <v>99</v>
      </c>
      <c r="Y9" s="466"/>
      <c r="Z9" s="466"/>
      <c r="AA9" s="468"/>
      <c r="AB9" s="467"/>
      <c r="AC9" s="488"/>
      <c r="AD9" s="464"/>
      <c r="AE9" s="466" t="s">
        <v>99</v>
      </c>
      <c r="AF9" s="466"/>
      <c r="AG9" s="466"/>
      <c r="AH9" s="468"/>
      <c r="AI9" s="467"/>
      <c r="AJ9" s="488"/>
      <c r="AK9" s="464"/>
      <c r="AL9" s="466" t="s">
        <v>99</v>
      </c>
      <c r="AM9" s="466"/>
      <c r="AN9" s="466"/>
      <c r="AO9" s="468"/>
      <c r="AP9" s="467"/>
    </row>
    <row r="10" spans="1:44" ht="29.25" hidden="1" thickBot="1" x14ac:dyDescent="0.25">
      <c r="A10" s="488"/>
      <c r="B10" s="464"/>
      <c r="C10" s="9" t="s">
        <v>98</v>
      </c>
      <c r="D10" s="31" t="s">
        <v>37</v>
      </c>
      <c r="E10" s="38">
        <v>85.1</v>
      </c>
      <c r="F10" s="135">
        <v>46371030</v>
      </c>
      <c r="G10" s="133">
        <f>E10/F10</f>
        <v>1.8351975360478298E-6</v>
      </c>
      <c r="H10" s="488"/>
      <c r="I10" s="464"/>
      <c r="J10" s="38" t="s">
        <v>98</v>
      </c>
      <c r="K10" s="31" t="s">
        <v>37</v>
      </c>
      <c r="L10" s="132">
        <f>$G$10*M10</f>
        <v>40.139855818743563</v>
      </c>
      <c r="M10" s="20">
        <f>$F$10/$G$2*H2</f>
        <v>21872226.302780639</v>
      </c>
      <c r="N10" s="328"/>
      <c r="O10" s="512"/>
      <c r="P10" s="494"/>
      <c r="Q10" s="228" t="s">
        <v>98</v>
      </c>
      <c r="R10" s="127" t="s">
        <v>37</v>
      </c>
      <c r="S10" s="221">
        <f>$G$10*T10</f>
        <v>0.17528321318228629</v>
      </c>
      <c r="T10" s="222">
        <f>$F$10/$G$2*I2</f>
        <v>95511.905252317199</v>
      </c>
      <c r="U10" s="223"/>
      <c r="V10" s="472"/>
      <c r="W10" s="464"/>
      <c r="X10" s="38" t="s">
        <v>98</v>
      </c>
      <c r="Y10" s="31" t="s">
        <v>37</v>
      </c>
      <c r="Z10" s="132">
        <f>$G$10*AA10</f>
        <v>38.124098867147268</v>
      </c>
      <c r="AA10" s="20">
        <f>$F$10/$G$2*J2</f>
        <v>20773839.39237899</v>
      </c>
      <c r="AB10" s="38"/>
      <c r="AC10" s="488"/>
      <c r="AD10" s="464"/>
      <c r="AE10" s="38" t="s">
        <v>98</v>
      </c>
      <c r="AF10" s="31" t="s">
        <v>37</v>
      </c>
      <c r="AG10" s="131">
        <f>$G$10*AH10</f>
        <v>0.17528321318228629</v>
      </c>
      <c r="AH10" s="20">
        <f>$F$10/$G$2*K2</f>
        <v>95511.905252317199</v>
      </c>
      <c r="AI10" s="38"/>
      <c r="AJ10" s="488"/>
      <c r="AK10" s="464"/>
      <c r="AL10" s="38" t="s">
        <v>98</v>
      </c>
      <c r="AM10" s="31" t="s">
        <v>37</v>
      </c>
      <c r="AN10" s="131">
        <f>$G$10*AO10</f>
        <v>6.485478887744593</v>
      </c>
      <c r="AO10" s="20">
        <f>$F$10/$G$2*L2</f>
        <v>3533940.4943357361</v>
      </c>
      <c r="AP10" s="38"/>
      <c r="AQ10" s="4">
        <f t="shared" ref="AQ10:AQ40" si="0">E10-L10-S10-Z10-AG10-AN10</f>
        <v>0</v>
      </c>
    </row>
    <row r="11" spans="1:44" ht="43.5" thickBot="1" x14ac:dyDescent="0.25">
      <c r="A11" s="488"/>
      <c r="B11" s="464"/>
      <c r="C11" s="9" t="s">
        <v>97</v>
      </c>
      <c r="D11" s="31" t="s">
        <v>37</v>
      </c>
      <c r="E11" s="38">
        <v>85.1</v>
      </c>
      <c r="F11" s="134">
        <f>SUM(F10)</f>
        <v>46371030</v>
      </c>
      <c r="G11" s="133">
        <f>E11/F11</f>
        <v>1.8351975360478298E-6</v>
      </c>
      <c r="H11" s="488"/>
      <c r="I11" s="464"/>
      <c r="J11" s="38" t="s">
        <v>97</v>
      </c>
      <c r="K11" s="31" t="s">
        <v>37</v>
      </c>
      <c r="L11" s="132">
        <f>$G$11*M11</f>
        <v>40.139855818743563</v>
      </c>
      <c r="M11" s="130">
        <f>M10</f>
        <v>21872226.302780639</v>
      </c>
      <c r="N11" s="328"/>
      <c r="O11" s="512"/>
      <c r="P11" s="494"/>
      <c r="Q11" s="229" t="s">
        <v>97</v>
      </c>
      <c r="R11" s="224" t="s">
        <v>37</v>
      </c>
      <c r="S11" s="225">
        <f>$G$11*T11</f>
        <v>0.17528321318228629</v>
      </c>
      <c r="T11" s="226">
        <f>SUM(T10)</f>
        <v>95511.905252317199</v>
      </c>
      <c r="U11" s="227" t="s">
        <v>161</v>
      </c>
      <c r="V11" s="472"/>
      <c r="W11" s="464"/>
      <c r="X11" s="38" t="s">
        <v>97</v>
      </c>
      <c r="Y11" s="31" t="s">
        <v>37</v>
      </c>
      <c r="Z11" s="132">
        <f>$G$11*AA11</f>
        <v>38.124098867147268</v>
      </c>
      <c r="AA11" s="130">
        <f>SUM(AA10)</f>
        <v>20773839.39237899</v>
      </c>
      <c r="AB11" s="38"/>
      <c r="AC11" s="488"/>
      <c r="AD11" s="464"/>
      <c r="AE11" s="38" t="s">
        <v>97</v>
      </c>
      <c r="AF11" s="31" t="s">
        <v>37</v>
      </c>
      <c r="AG11" s="131">
        <f>$G$11*AH11</f>
        <v>0.17528321318228629</v>
      </c>
      <c r="AH11" s="130">
        <f>SUM(AH10)</f>
        <v>95511.905252317199</v>
      </c>
      <c r="AI11" s="38"/>
      <c r="AJ11" s="488"/>
      <c r="AK11" s="464"/>
      <c r="AL11" s="38" t="s">
        <v>97</v>
      </c>
      <c r="AM11" s="31" t="s">
        <v>37</v>
      </c>
      <c r="AN11" s="131">
        <f>$G$11*AO11</f>
        <v>6.485478887744593</v>
      </c>
      <c r="AO11" s="130">
        <f>SUM(AO10)</f>
        <v>3533940.4943357361</v>
      </c>
      <c r="AP11" s="38"/>
      <c r="AQ11" s="4">
        <f t="shared" si="0"/>
        <v>0</v>
      </c>
    </row>
    <row r="12" spans="1:44" x14ac:dyDescent="0.2">
      <c r="A12" s="488"/>
      <c r="B12" s="464"/>
      <c r="C12" s="468" t="s">
        <v>96</v>
      </c>
      <c r="D12" s="471"/>
      <c r="E12" s="468"/>
      <c r="F12" s="468"/>
      <c r="G12" s="469"/>
      <c r="H12" s="488"/>
      <c r="I12" s="464"/>
      <c r="J12" s="468" t="s">
        <v>96</v>
      </c>
      <c r="K12" s="468"/>
      <c r="L12" s="468"/>
      <c r="M12" s="471"/>
      <c r="N12" s="468"/>
      <c r="O12" s="512"/>
      <c r="P12" s="494"/>
      <c r="Q12" s="471" t="s">
        <v>96</v>
      </c>
      <c r="R12" s="471"/>
      <c r="S12" s="471"/>
      <c r="T12" s="471"/>
      <c r="U12" s="472"/>
      <c r="V12" s="488"/>
      <c r="W12" s="464"/>
      <c r="X12" s="468" t="s">
        <v>96</v>
      </c>
      <c r="Y12" s="468"/>
      <c r="Z12" s="468"/>
      <c r="AA12" s="471"/>
      <c r="AB12" s="469"/>
      <c r="AC12" s="488"/>
      <c r="AD12" s="464"/>
      <c r="AE12" s="468" t="s">
        <v>96</v>
      </c>
      <c r="AF12" s="468"/>
      <c r="AG12" s="468"/>
      <c r="AH12" s="471"/>
      <c r="AI12" s="469"/>
      <c r="AJ12" s="488"/>
      <c r="AK12" s="464"/>
      <c r="AL12" s="468" t="s">
        <v>96</v>
      </c>
      <c r="AM12" s="468"/>
      <c r="AN12" s="468"/>
      <c r="AO12" s="471"/>
      <c r="AP12" s="469"/>
      <c r="AQ12" s="4">
        <f t="shared" si="0"/>
        <v>0</v>
      </c>
    </row>
    <row r="13" spans="1:44" ht="142.5" x14ac:dyDescent="0.2">
      <c r="A13" s="488"/>
      <c r="B13" s="465"/>
      <c r="C13" s="31" t="s">
        <v>95</v>
      </c>
      <c r="D13" s="31" t="s">
        <v>10</v>
      </c>
      <c r="E13" s="129">
        <v>5</v>
      </c>
      <c r="F13" s="32">
        <v>16000</v>
      </c>
      <c r="G13" s="31">
        <f>E13/F13</f>
        <v>3.1250000000000001E-4</v>
      </c>
      <c r="H13" s="488"/>
      <c r="I13" s="465"/>
      <c r="J13" s="31" t="s">
        <v>95</v>
      </c>
      <c r="K13" s="31" t="s">
        <v>10</v>
      </c>
      <c r="L13" s="13">
        <f>$G$13*M13-0.1</f>
        <v>2.2583934088568483</v>
      </c>
      <c r="M13" s="12">
        <f t="shared" ref="M13:M26" si="1">$M$27/$F$27*F13</f>
        <v>7546.8589083419147</v>
      </c>
      <c r="N13" s="42"/>
      <c r="O13" s="512"/>
      <c r="P13" s="494"/>
      <c r="Q13" s="124" t="s">
        <v>95</v>
      </c>
      <c r="R13" s="31" t="s">
        <v>10</v>
      </c>
      <c r="S13" s="13">
        <f>$G$13*T13+0.1</f>
        <v>0.11029866117404738</v>
      </c>
      <c r="T13" s="12">
        <f t="shared" ref="T13:T26" si="2">$T$27/$F$27*F13</f>
        <v>32.955715756951598</v>
      </c>
      <c r="U13" s="370" t="s">
        <v>150</v>
      </c>
      <c r="V13" s="488"/>
      <c r="W13" s="465"/>
      <c r="X13" s="31" t="s">
        <v>95</v>
      </c>
      <c r="Y13" s="31" t="s">
        <v>10</v>
      </c>
      <c r="Z13" s="13">
        <f>$G$13*AA13</f>
        <v>2.2399588053553039</v>
      </c>
      <c r="AA13" s="12">
        <f t="shared" ref="AA13:AA26" si="3">$AA$27/$F$27*F13</f>
        <v>7167.868177136972</v>
      </c>
      <c r="AB13" s="31"/>
      <c r="AC13" s="488"/>
      <c r="AD13" s="465"/>
      <c r="AE13" s="31" t="s">
        <v>95</v>
      </c>
      <c r="AF13" s="31" t="s">
        <v>10</v>
      </c>
      <c r="AG13" s="13">
        <f>$G$13*AH13+0.1</f>
        <v>0.11029866117404738</v>
      </c>
      <c r="AH13" s="12">
        <f t="shared" ref="AH13:AH26" si="4">$AH$27/$F$27*F13</f>
        <v>32.955715756951598</v>
      </c>
      <c r="AI13" s="31"/>
      <c r="AJ13" s="488"/>
      <c r="AK13" s="465"/>
      <c r="AL13" s="31" t="s">
        <v>95</v>
      </c>
      <c r="AM13" s="31" t="s">
        <v>10</v>
      </c>
      <c r="AN13" s="13">
        <f>$G$13*AO13</f>
        <v>0.38105046343975285</v>
      </c>
      <c r="AO13" s="12">
        <f t="shared" ref="AO13:AO26" si="5">$AO$27/$F$27*F13</f>
        <v>1219.361483007209</v>
      </c>
      <c r="AP13" s="31"/>
      <c r="AQ13" s="4">
        <f t="shared" si="0"/>
        <v>-9.99999999999997E-2</v>
      </c>
    </row>
    <row r="14" spans="1:44" ht="15" thickBot="1" x14ac:dyDescent="0.25">
      <c r="A14" s="488"/>
      <c r="B14" s="465"/>
      <c r="C14" s="128" t="s">
        <v>94</v>
      </c>
      <c r="D14" s="31" t="s">
        <v>10</v>
      </c>
      <c r="E14" s="13">
        <v>4</v>
      </c>
      <c r="F14" s="32">
        <v>12000</v>
      </c>
      <c r="G14" s="31">
        <f>E14/F14</f>
        <v>3.3333333333333332E-4</v>
      </c>
      <c r="H14" s="488"/>
      <c r="I14" s="465"/>
      <c r="J14" s="31" t="s">
        <v>94</v>
      </c>
      <c r="K14" s="31" t="s">
        <v>10</v>
      </c>
      <c r="L14" s="13">
        <f>$G$14*M14-0.1</f>
        <v>1.7867147270854786</v>
      </c>
      <c r="M14" s="12">
        <f t="shared" si="1"/>
        <v>5660.1441812564362</v>
      </c>
      <c r="N14" s="42"/>
      <c r="O14" s="512"/>
      <c r="P14" s="494"/>
      <c r="Q14" s="230" t="s">
        <v>94</v>
      </c>
      <c r="R14" s="31" t="s">
        <v>10</v>
      </c>
      <c r="S14" s="13">
        <f>$G$14*T14+0.1</f>
        <v>0.10823892893923791</v>
      </c>
      <c r="T14" s="12">
        <f t="shared" si="2"/>
        <v>24.716786817713697</v>
      </c>
      <c r="U14" s="370" t="s">
        <v>150</v>
      </c>
      <c r="V14" s="488"/>
      <c r="W14" s="465"/>
      <c r="X14" s="128" t="s">
        <v>94</v>
      </c>
      <c r="Y14" s="31" t="s">
        <v>10</v>
      </c>
      <c r="Z14" s="13">
        <f>$G$14*AA14</f>
        <v>1.791967044284243</v>
      </c>
      <c r="AA14" s="12">
        <f t="shared" si="3"/>
        <v>5375.9011328527295</v>
      </c>
      <c r="AB14" s="31"/>
      <c r="AC14" s="488"/>
      <c r="AD14" s="465"/>
      <c r="AE14" s="128" t="s">
        <v>94</v>
      </c>
      <c r="AF14" s="38"/>
      <c r="AG14" s="13">
        <f>$G$14*AH14+0.1</f>
        <v>0.10823892893923791</v>
      </c>
      <c r="AH14" s="12">
        <f t="shared" si="4"/>
        <v>24.716786817713697</v>
      </c>
      <c r="AI14" s="31"/>
      <c r="AJ14" s="488"/>
      <c r="AK14" s="465"/>
      <c r="AL14" s="128" t="s">
        <v>94</v>
      </c>
      <c r="AM14" s="31" t="s">
        <v>10</v>
      </c>
      <c r="AN14" s="13">
        <f>$G$14*AO14</f>
        <v>0.30484037075180226</v>
      </c>
      <c r="AO14" s="12">
        <f t="shared" si="5"/>
        <v>914.52111225540682</v>
      </c>
      <c r="AP14" s="31"/>
      <c r="AQ14" s="4">
        <f t="shared" si="0"/>
        <v>-0.10000000000000009</v>
      </c>
    </row>
    <row r="15" spans="1:44" ht="29.25" thickBot="1" x14ac:dyDescent="0.25">
      <c r="A15" s="488"/>
      <c r="B15" s="465"/>
      <c r="C15" s="31" t="s">
        <v>93</v>
      </c>
      <c r="D15" s="31" t="s">
        <v>10</v>
      </c>
      <c r="E15" s="13">
        <v>4</v>
      </c>
      <c r="F15" s="32">
        <v>5157</v>
      </c>
      <c r="G15" s="31">
        <f>E15/F15</f>
        <v>7.7564475470234633E-4</v>
      </c>
      <c r="H15" s="488"/>
      <c r="I15" s="465"/>
      <c r="J15" s="31" t="s">
        <v>93</v>
      </c>
      <c r="K15" s="31" t="s">
        <v>10</v>
      </c>
      <c r="L15" s="13">
        <f>$G$15*M15-0.1</f>
        <v>1.7867147270854786</v>
      </c>
      <c r="M15" s="12">
        <f t="shared" si="1"/>
        <v>2432.4469618949533</v>
      </c>
      <c r="N15" s="42"/>
      <c r="O15" s="512"/>
      <c r="P15" s="494"/>
      <c r="Q15" s="124" t="s">
        <v>93</v>
      </c>
      <c r="R15" s="31" t="s">
        <v>10</v>
      </c>
      <c r="S15" s="13">
        <f>$G$15*T15+0.1</f>
        <v>0.10823892893923791</v>
      </c>
      <c r="T15" s="12">
        <f t="shared" si="2"/>
        <v>10.622039134912461</v>
      </c>
      <c r="U15" s="370" t="s">
        <v>150</v>
      </c>
      <c r="V15" s="488"/>
      <c r="W15" s="465"/>
      <c r="X15" s="31" t="s">
        <v>93</v>
      </c>
      <c r="Y15" s="31" t="s">
        <v>10</v>
      </c>
      <c r="Z15" s="13">
        <f>$G$15*AA15</f>
        <v>1.791967044284243</v>
      </c>
      <c r="AA15" s="12">
        <f t="shared" si="3"/>
        <v>2310.2935118434602</v>
      </c>
      <c r="AB15" s="31"/>
      <c r="AC15" s="488"/>
      <c r="AD15" s="465"/>
      <c r="AE15" s="31" t="s">
        <v>93</v>
      </c>
      <c r="AF15" s="38" t="s">
        <v>10</v>
      </c>
      <c r="AG15" s="13">
        <f>$G$15*AH15+0.1</f>
        <v>0.10823892893923791</v>
      </c>
      <c r="AH15" s="12">
        <f t="shared" si="4"/>
        <v>10.622039134912461</v>
      </c>
      <c r="AI15" s="31"/>
      <c r="AJ15" s="488"/>
      <c r="AK15" s="465"/>
      <c r="AL15" s="31" t="s">
        <v>93</v>
      </c>
      <c r="AM15" s="31" t="s">
        <v>10</v>
      </c>
      <c r="AN15" s="13">
        <f>$G$15*AO15</f>
        <v>0.30484037075180226</v>
      </c>
      <c r="AO15" s="12">
        <f t="shared" si="5"/>
        <v>393.01544799176105</v>
      </c>
      <c r="AP15" s="31"/>
      <c r="AQ15" s="4">
        <f t="shared" si="0"/>
        <v>-0.10000000000000009</v>
      </c>
    </row>
    <row r="16" spans="1:44" ht="28.5" x14ac:dyDescent="0.2">
      <c r="A16" s="488"/>
      <c r="B16" s="465"/>
      <c r="C16" s="31" t="s">
        <v>92</v>
      </c>
      <c r="D16" s="127" t="s">
        <v>10</v>
      </c>
      <c r="E16" s="13">
        <v>2</v>
      </c>
      <c r="F16" s="32">
        <v>30494</v>
      </c>
      <c r="G16" s="126">
        <f>E16/F16</f>
        <v>6.5586672788089459E-5</v>
      </c>
      <c r="H16" s="488"/>
      <c r="I16" s="465"/>
      <c r="J16" s="31" t="s">
        <v>92</v>
      </c>
      <c r="K16" s="127" t="s">
        <v>10</v>
      </c>
      <c r="L16" s="13">
        <f>$G$16*M16-0.1</f>
        <v>0.84335736354273938</v>
      </c>
      <c r="M16" s="12">
        <f t="shared" si="1"/>
        <v>14383.369721936147</v>
      </c>
      <c r="N16" s="42"/>
      <c r="O16" s="512"/>
      <c r="P16" s="494"/>
      <c r="Q16" s="124" t="s">
        <v>92</v>
      </c>
      <c r="R16" s="31" t="s">
        <v>10</v>
      </c>
      <c r="S16" s="13">
        <f>$G$16*T16+0.1</f>
        <v>0.10411946446961895</v>
      </c>
      <c r="T16" s="12">
        <f t="shared" si="2"/>
        <v>62.809474768280118</v>
      </c>
      <c r="U16" s="370" t="s">
        <v>150</v>
      </c>
      <c r="V16" s="488"/>
      <c r="W16" s="465"/>
      <c r="X16" s="31" t="s">
        <v>92</v>
      </c>
      <c r="Y16" s="127" t="s">
        <v>10</v>
      </c>
      <c r="Z16" s="13">
        <f>$G$16*AA16-0.1</f>
        <v>0.79598352214212154</v>
      </c>
      <c r="AA16" s="12">
        <f t="shared" si="3"/>
        <v>13661.060762100928</v>
      </c>
      <c r="AB16" s="31"/>
      <c r="AC16" s="488"/>
      <c r="AD16" s="465"/>
      <c r="AE16" s="31" t="s">
        <v>92</v>
      </c>
      <c r="AF16" s="127" t="s">
        <v>10</v>
      </c>
      <c r="AG16" s="13">
        <f>$G$16*AH16+0.1</f>
        <v>0.10411946446961895</v>
      </c>
      <c r="AH16" s="12">
        <f t="shared" si="4"/>
        <v>62.809474768280118</v>
      </c>
      <c r="AI16" s="31"/>
      <c r="AJ16" s="488"/>
      <c r="AK16" s="465"/>
      <c r="AL16" s="31" t="s">
        <v>92</v>
      </c>
      <c r="AM16" s="127" t="s">
        <v>10</v>
      </c>
      <c r="AN16" s="13">
        <f>$G$16*AO16</f>
        <v>0.15242018537590113</v>
      </c>
      <c r="AO16" s="12">
        <f t="shared" si="5"/>
        <v>2323.9505664263647</v>
      </c>
      <c r="AP16" s="31"/>
      <c r="AQ16" s="4">
        <f t="shared" si="0"/>
        <v>0</v>
      </c>
    </row>
    <row r="17" spans="1:43" x14ac:dyDescent="0.2">
      <c r="A17" s="488"/>
      <c r="B17" s="465"/>
      <c r="C17" s="31"/>
      <c r="D17" s="46"/>
      <c r="E17" s="13"/>
      <c r="F17" s="32"/>
      <c r="G17" s="31"/>
      <c r="H17" s="488"/>
      <c r="I17" s="465"/>
      <c r="J17" s="31"/>
      <c r="K17" s="46"/>
      <c r="L17" s="13"/>
      <c r="M17" s="12">
        <f t="shared" si="1"/>
        <v>0</v>
      </c>
      <c r="N17" s="42"/>
      <c r="O17" s="512"/>
      <c r="P17" s="494"/>
      <c r="Q17" s="124"/>
      <c r="R17" s="323"/>
      <c r="S17" s="13"/>
      <c r="T17" s="12">
        <f t="shared" si="2"/>
        <v>0</v>
      </c>
      <c r="U17" s="370" t="s">
        <v>150</v>
      </c>
      <c r="V17" s="488"/>
      <c r="W17" s="465"/>
      <c r="X17" s="31"/>
      <c r="Y17" s="46"/>
      <c r="Z17" s="13"/>
      <c r="AA17" s="12">
        <f t="shared" si="3"/>
        <v>0</v>
      </c>
      <c r="AB17" s="31"/>
      <c r="AC17" s="488"/>
      <c r="AD17" s="465"/>
      <c r="AE17" s="31"/>
      <c r="AF17" s="46"/>
      <c r="AG17" s="13"/>
      <c r="AH17" s="12">
        <f t="shared" si="4"/>
        <v>0</v>
      </c>
      <c r="AI17" s="31"/>
      <c r="AJ17" s="488"/>
      <c r="AK17" s="465"/>
      <c r="AL17" s="31"/>
      <c r="AM17" s="46"/>
      <c r="AN17" s="13"/>
      <c r="AO17" s="12">
        <f t="shared" si="5"/>
        <v>0</v>
      </c>
      <c r="AP17" s="31"/>
      <c r="AQ17" s="4">
        <f t="shared" si="0"/>
        <v>0</v>
      </c>
    </row>
    <row r="18" spans="1:43" ht="42.75" x14ac:dyDescent="0.2">
      <c r="A18" s="488"/>
      <c r="B18" s="465"/>
      <c r="C18" s="31" t="s">
        <v>91</v>
      </c>
      <c r="D18" s="31" t="s">
        <v>89</v>
      </c>
      <c r="E18" s="13">
        <v>54</v>
      </c>
      <c r="F18" s="32">
        <f>82983.67+102410</f>
        <v>185393.66999999998</v>
      </c>
      <c r="G18" s="31">
        <f t="shared" ref="G18:G26" si="6">E18/F18</f>
        <v>2.9127208064870828E-4</v>
      </c>
      <c r="H18" s="488"/>
      <c r="I18" s="465"/>
      <c r="J18" s="31" t="s">
        <v>91</v>
      </c>
      <c r="K18" s="31" t="s">
        <v>89</v>
      </c>
      <c r="L18" s="13">
        <f>$G$18*M18</f>
        <v>25.470648815653963</v>
      </c>
      <c r="M18" s="12">
        <f t="shared" si="1"/>
        <v>87446.241874356318</v>
      </c>
      <c r="N18" s="42"/>
      <c r="O18" s="512"/>
      <c r="P18" s="494"/>
      <c r="Q18" s="124" t="s">
        <v>91</v>
      </c>
      <c r="R18" s="31" t="s">
        <v>89</v>
      </c>
      <c r="S18" s="13">
        <f>$G$18*T18</f>
        <v>0.11122554067971165</v>
      </c>
      <c r="T18" s="12">
        <f t="shared" si="2"/>
        <v>381.86131822863024</v>
      </c>
      <c r="U18" s="370" t="s">
        <v>150</v>
      </c>
      <c r="V18" s="488"/>
      <c r="W18" s="465"/>
      <c r="X18" s="31" t="s">
        <v>91</v>
      </c>
      <c r="Y18" s="31" t="s">
        <v>89</v>
      </c>
      <c r="Z18" s="13">
        <f>$G$18*AA18</f>
        <v>24.191555097837281</v>
      </c>
      <c r="AA18" s="12">
        <f t="shared" si="3"/>
        <v>83054.836714727076</v>
      </c>
      <c r="AB18" s="31"/>
      <c r="AC18" s="488"/>
      <c r="AD18" s="465"/>
      <c r="AE18" s="31" t="s">
        <v>91</v>
      </c>
      <c r="AF18" s="31" t="s">
        <v>89</v>
      </c>
      <c r="AG18" s="13">
        <f>$G$18*AH18</f>
        <v>0.11122554067971165</v>
      </c>
      <c r="AH18" s="12">
        <f t="shared" si="4"/>
        <v>381.86131822863024</v>
      </c>
      <c r="AI18" s="31"/>
      <c r="AJ18" s="488"/>
      <c r="AK18" s="465"/>
      <c r="AL18" s="31" t="s">
        <v>91</v>
      </c>
      <c r="AM18" s="31" t="s">
        <v>89</v>
      </c>
      <c r="AN18" s="13">
        <f>$G$18*AO18</f>
        <v>4.1153450051493312</v>
      </c>
      <c r="AO18" s="12">
        <f t="shared" si="5"/>
        <v>14128.868774459319</v>
      </c>
      <c r="AP18" s="31"/>
      <c r="AQ18" s="4">
        <f t="shared" si="0"/>
        <v>0</v>
      </c>
    </row>
    <row r="19" spans="1:43" ht="42.75" x14ac:dyDescent="0.2">
      <c r="A19" s="488"/>
      <c r="B19" s="465"/>
      <c r="C19" s="31" t="s">
        <v>90</v>
      </c>
      <c r="D19" s="31" t="s">
        <v>89</v>
      </c>
      <c r="E19" s="13">
        <v>68</v>
      </c>
      <c r="F19" s="32">
        <f>628975.88+98974</f>
        <v>727949.88</v>
      </c>
      <c r="G19" s="126">
        <f t="shared" si="6"/>
        <v>9.3413024534051706E-5</v>
      </c>
      <c r="H19" s="488"/>
      <c r="I19" s="465"/>
      <c r="J19" s="31" t="s">
        <v>90</v>
      </c>
      <c r="K19" s="31" t="s">
        <v>89</v>
      </c>
      <c r="L19" s="13">
        <f>$G$19*M19</f>
        <v>32.074150360453132</v>
      </c>
      <c r="M19" s="12">
        <f t="shared" si="1"/>
        <v>343358.43979402672</v>
      </c>
      <c r="N19" s="42"/>
      <c r="O19" s="512"/>
      <c r="P19" s="494"/>
      <c r="Q19" s="124" t="s">
        <v>90</v>
      </c>
      <c r="R19" s="31" t="s">
        <v>89</v>
      </c>
      <c r="S19" s="13">
        <f>$G$19*T19</f>
        <v>0.14006179196704427</v>
      </c>
      <c r="T19" s="12">
        <f t="shared" si="2"/>
        <v>1499.381833161689</v>
      </c>
      <c r="U19" s="370" t="s">
        <v>150</v>
      </c>
      <c r="V19" s="488"/>
      <c r="W19" s="465"/>
      <c r="X19" s="31" t="s">
        <v>90</v>
      </c>
      <c r="Y19" s="31" t="s">
        <v>89</v>
      </c>
      <c r="Z19" s="13">
        <f>$G$19*AA19</f>
        <v>30.46343975283213</v>
      </c>
      <c r="AA19" s="12">
        <f t="shared" si="3"/>
        <v>326115.54871266737</v>
      </c>
      <c r="AB19" s="31"/>
      <c r="AC19" s="488"/>
      <c r="AD19" s="465"/>
      <c r="AE19" s="31" t="s">
        <v>90</v>
      </c>
      <c r="AF19" s="31" t="s">
        <v>89</v>
      </c>
      <c r="AG19" s="13">
        <f>$G$19*AH19</f>
        <v>0.14006179196704427</v>
      </c>
      <c r="AH19" s="12">
        <f t="shared" si="4"/>
        <v>1499.381833161689</v>
      </c>
      <c r="AI19" s="31"/>
      <c r="AJ19" s="488"/>
      <c r="AK19" s="465"/>
      <c r="AL19" s="31" t="s">
        <v>90</v>
      </c>
      <c r="AM19" s="31" t="s">
        <v>89</v>
      </c>
      <c r="AN19" s="13">
        <f>$G$19*AO19</f>
        <v>5.1822863027806383</v>
      </c>
      <c r="AO19" s="12">
        <f t="shared" si="5"/>
        <v>55477.127826982491</v>
      </c>
      <c r="AP19" s="31"/>
      <c r="AQ19" s="4">
        <f t="shared" si="0"/>
        <v>1.3322676295501878E-14</v>
      </c>
    </row>
    <row r="20" spans="1:43" ht="28.5" x14ac:dyDescent="0.2">
      <c r="A20" s="488"/>
      <c r="B20" s="465"/>
      <c r="C20" s="31" t="s">
        <v>88</v>
      </c>
      <c r="D20" s="31" t="s">
        <v>10</v>
      </c>
      <c r="E20" s="13">
        <v>101</v>
      </c>
      <c r="F20" s="32">
        <v>88952.960000000006</v>
      </c>
      <c r="G20" s="31">
        <f t="shared" si="6"/>
        <v>1.1354315809164754E-3</v>
      </c>
      <c r="H20" s="488"/>
      <c r="I20" s="465"/>
      <c r="J20" s="31" t="s">
        <v>88</v>
      </c>
      <c r="K20" s="31" t="s">
        <v>10</v>
      </c>
      <c r="L20" s="13">
        <f>$G$20*M20</f>
        <v>47.639546858908339</v>
      </c>
      <c r="M20" s="12">
        <f t="shared" si="1"/>
        <v>41957.214912461379</v>
      </c>
      <c r="N20" s="42"/>
      <c r="O20" s="512"/>
      <c r="P20" s="494"/>
      <c r="Q20" s="124" t="s">
        <v>88</v>
      </c>
      <c r="R20" s="31" t="s">
        <v>10</v>
      </c>
      <c r="S20" s="13">
        <f>$G$20*T20</f>
        <v>0.20803295571575697</v>
      </c>
      <c r="T20" s="12">
        <f t="shared" si="2"/>
        <v>183.21927909371783</v>
      </c>
      <c r="U20" s="370" t="s">
        <v>150</v>
      </c>
      <c r="V20" s="488"/>
      <c r="W20" s="465"/>
      <c r="X20" s="31" t="s">
        <v>88</v>
      </c>
      <c r="Y20" s="31" t="s">
        <v>10</v>
      </c>
      <c r="Z20" s="13">
        <f>$G$20*AA20</f>
        <v>45.247167868177144</v>
      </c>
      <c r="AA20" s="12">
        <f t="shared" si="3"/>
        <v>39850.193202883631</v>
      </c>
      <c r="AB20" s="31"/>
      <c r="AC20" s="488"/>
      <c r="AD20" s="465"/>
      <c r="AE20" s="31" t="s">
        <v>88</v>
      </c>
      <c r="AF20" s="31" t="s">
        <v>10</v>
      </c>
      <c r="AG20" s="13">
        <f>$G$20*AH20</f>
        <v>0.20803295571575697</v>
      </c>
      <c r="AH20" s="12">
        <f t="shared" si="4"/>
        <v>183.21927909371783</v>
      </c>
      <c r="AI20" s="31"/>
      <c r="AJ20" s="488"/>
      <c r="AK20" s="465"/>
      <c r="AL20" s="31" t="s">
        <v>88</v>
      </c>
      <c r="AM20" s="31" t="s">
        <v>10</v>
      </c>
      <c r="AN20" s="13">
        <f>$G$20*AO20</f>
        <v>7.6972193614830084</v>
      </c>
      <c r="AO20" s="12">
        <f t="shared" si="5"/>
        <v>6779.11332646756</v>
      </c>
      <c r="AP20" s="31"/>
      <c r="AQ20" s="4">
        <f t="shared" si="0"/>
        <v>0</v>
      </c>
    </row>
    <row r="21" spans="1:43" ht="42.75" x14ac:dyDescent="0.2">
      <c r="A21" s="488"/>
      <c r="B21" s="465"/>
      <c r="C21" s="31" t="s">
        <v>87</v>
      </c>
      <c r="D21" s="31" t="s">
        <v>10</v>
      </c>
      <c r="E21" s="13">
        <v>1080</v>
      </c>
      <c r="F21" s="32">
        <v>147996.53078924544</v>
      </c>
      <c r="G21" s="31">
        <f t="shared" si="6"/>
        <v>7.2974683544303797E-3</v>
      </c>
      <c r="H21" s="488"/>
      <c r="I21" s="465"/>
      <c r="J21" s="31" t="s">
        <v>87</v>
      </c>
      <c r="K21" s="31" t="s">
        <v>10</v>
      </c>
      <c r="L21" s="13">
        <f>$G$21*M21</f>
        <v>509.41297631307924</v>
      </c>
      <c r="M21" s="12">
        <f t="shared" si="1"/>
        <v>69806.808549407215</v>
      </c>
      <c r="N21" s="42"/>
      <c r="O21" s="512"/>
      <c r="P21" s="494"/>
      <c r="Q21" s="124" t="s">
        <v>87</v>
      </c>
      <c r="R21" s="31" t="s">
        <v>10</v>
      </c>
      <c r="S21" s="13">
        <f>$G$21*T21</f>
        <v>2.2245108135942324</v>
      </c>
      <c r="T21" s="12">
        <f t="shared" si="2"/>
        <v>304.83322510658172</v>
      </c>
      <c r="U21" s="370" t="s">
        <v>150</v>
      </c>
      <c r="V21" s="488"/>
      <c r="W21" s="465"/>
      <c r="X21" s="31" t="s">
        <v>87</v>
      </c>
      <c r="Y21" s="31" t="s">
        <v>10</v>
      </c>
      <c r="Z21" s="13">
        <f>$G$21*AA21</f>
        <v>483.83110195674561</v>
      </c>
      <c r="AA21" s="12">
        <f t="shared" si="3"/>
        <v>66301.22646068153</v>
      </c>
      <c r="AB21" s="31"/>
      <c r="AC21" s="488"/>
      <c r="AD21" s="465"/>
      <c r="AE21" s="31" t="s">
        <v>87</v>
      </c>
      <c r="AF21" s="31" t="s">
        <v>10</v>
      </c>
      <c r="AG21" s="13">
        <f>$G$21*AH21</f>
        <v>2.2245108135942324</v>
      </c>
      <c r="AH21" s="12">
        <f t="shared" si="4"/>
        <v>304.83322510658172</v>
      </c>
      <c r="AI21" s="31"/>
      <c r="AJ21" s="488"/>
      <c r="AK21" s="465"/>
      <c r="AL21" s="31" t="s">
        <v>87</v>
      </c>
      <c r="AM21" s="31" t="s">
        <v>10</v>
      </c>
      <c r="AN21" s="13">
        <f>$G$21*AO21</f>
        <v>82.306900102986603</v>
      </c>
      <c r="AO21" s="12">
        <f t="shared" si="5"/>
        <v>11278.829328943524</v>
      </c>
      <c r="AP21" s="31"/>
      <c r="AQ21" s="4">
        <f t="shared" si="0"/>
        <v>0</v>
      </c>
    </row>
    <row r="22" spans="1:43" ht="42.75" x14ac:dyDescent="0.2">
      <c r="A22" s="488"/>
      <c r="B22" s="465"/>
      <c r="C22" s="31" t="s">
        <v>86</v>
      </c>
      <c r="D22" s="31" t="s">
        <v>10</v>
      </c>
      <c r="E22" s="125">
        <v>1600</v>
      </c>
      <c r="F22" s="32">
        <f>1285698.67+845000</f>
        <v>2130698.67</v>
      </c>
      <c r="G22" s="31">
        <f t="shared" si="6"/>
        <v>7.509273941584617E-4</v>
      </c>
      <c r="H22" s="488"/>
      <c r="I22" s="465"/>
      <c r="J22" s="31" t="s">
        <v>86</v>
      </c>
      <c r="K22" s="31" t="s">
        <v>10</v>
      </c>
      <c r="L22" s="13">
        <f>$G$22*M22</f>
        <v>754.68589083419147</v>
      </c>
      <c r="M22" s="12">
        <f t="shared" si="1"/>
        <v>1005005.1399176106</v>
      </c>
      <c r="N22" s="42"/>
      <c r="O22" s="512"/>
      <c r="P22" s="494"/>
      <c r="Q22" s="124" t="s">
        <v>86</v>
      </c>
      <c r="R22" s="31" t="s">
        <v>10</v>
      </c>
      <c r="S22" s="13">
        <f>$G$22*T22</f>
        <v>3.2955715756951598</v>
      </c>
      <c r="T22" s="12">
        <f t="shared" si="2"/>
        <v>4388.6687332646752</v>
      </c>
      <c r="U22" s="370" t="s">
        <v>150</v>
      </c>
      <c r="V22" s="488"/>
      <c r="W22" s="465"/>
      <c r="X22" s="31" t="s">
        <v>86</v>
      </c>
      <c r="Y22" s="31" t="s">
        <v>10</v>
      </c>
      <c r="Z22" s="13">
        <f>$G$22*AA22</f>
        <v>716.78681771369725</v>
      </c>
      <c r="AA22" s="12">
        <f t="shared" si="3"/>
        <v>954535.44948506693</v>
      </c>
      <c r="AB22" s="31"/>
      <c r="AC22" s="488"/>
      <c r="AD22" s="465"/>
      <c r="AE22" s="31" t="s">
        <v>86</v>
      </c>
      <c r="AF22" s="31" t="s">
        <v>10</v>
      </c>
      <c r="AG22" s="13">
        <f>$G$22*AH22</f>
        <v>3.2955715756951598</v>
      </c>
      <c r="AH22" s="12">
        <f t="shared" si="4"/>
        <v>4388.6687332646752</v>
      </c>
      <c r="AI22" s="31"/>
      <c r="AJ22" s="488"/>
      <c r="AK22" s="465"/>
      <c r="AL22" s="31" t="s">
        <v>86</v>
      </c>
      <c r="AM22" s="31" t="s">
        <v>10</v>
      </c>
      <c r="AN22" s="13">
        <f>$G$22*AO22</f>
        <v>121.9361483007209</v>
      </c>
      <c r="AO22" s="12">
        <f t="shared" si="5"/>
        <v>162380.74313079298</v>
      </c>
      <c r="AP22" s="31"/>
      <c r="AQ22" s="4">
        <f t="shared" si="0"/>
        <v>0</v>
      </c>
    </row>
    <row r="23" spans="1:43" x14ac:dyDescent="0.2">
      <c r="A23" s="488"/>
      <c r="B23" s="465"/>
      <c r="C23" s="31" t="s">
        <v>85</v>
      </c>
      <c r="D23" s="31" t="s">
        <v>10</v>
      </c>
      <c r="E23" s="13">
        <v>270</v>
      </c>
      <c r="F23" s="32">
        <f>17464+61306.9</f>
        <v>78770.899999999994</v>
      </c>
      <c r="G23" s="31">
        <f t="shared" si="6"/>
        <v>3.4276617380276223E-3</v>
      </c>
      <c r="H23" s="488"/>
      <c r="I23" s="465"/>
      <c r="J23" s="31" t="s">
        <v>85</v>
      </c>
      <c r="K23" s="31" t="s">
        <v>10</v>
      </c>
      <c r="L23" s="13">
        <f>$G$23*M23</f>
        <v>127.35324407826984</v>
      </c>
      <c r="M23" s="12">
        <f t="shared" si="1"/>
        <v>37154.554273944384</v>
      </c>
      <c r="N23" s="42"/>
      <c r="O23" s="512"/>
      <c r="P23" s="494"/>
      <c r="Q23" s="124" t="s">
        <v>85</v>
      </c>
      <c r="R23" s="31" t="s">
        <v>10</v>
      </c>
      <c r="S23" s="13">
        <f>$G$23*T23</f>
        <v>0.55612770339855822</v>
      </c>
      <c r="T23" s="12">
        <f t="shared" si="2"/>
        <v>162.24696189495364</v>
      </c>
      <c r="U23" s="370" t="s">
        <v>150</v>
      </c>
      <c r="V23" s="488"/>
      <c r="W23" s="465"/>
      <c r="X23" s="31" t="s">
        <v>85</v>
      </c>
      <c r="Y23" s="31" t="s">
        <v>10</v>
      </c>
      <c r="Z23" s="13">
        <f>$G$23*AA23</f>
        <v>120.9577754891864</v>
      </c>
      <c r="AA23" s="12">
        <f t="shared" si="3"/>
        <v>35288.714212152416</v>
      </c>
      <c r="AB23" s="31"/>
      <c r="AC23" s="488"/>
      <c r="AD23" s="465"/>
      <c r="AE23" s="31" t="s">
        <v>85</v>
      </c>
      <c r="AF23" s="31" t="s">
        <v>10</v>
      </c>
      <c r="AG23" s="13">
        <f>$G$23*AH23</f>
        <v>0.55612770339855822</v>
      </c>
      <c r="AH23" s="12">
        <f t="shared" si="4"/>
        <v>162.24696189495364</v>
      </c>
      <c r="AI23" s="31"/>
      <c r="AJ23" s="488"/>
      <c r="AK23" s="465"/>
      <c r="AL23" s="31" t="s">
        <v>85</v>
      </c>
      <c r="AM23" s="31" t="s">
        <v>10</v>
      </c>
      <c r="AN23" s="13">
        <f>$G$23*AO23</f>
        <v>20.576725025746654</v>
      </c>
      <c r="AO23" s="12">
        <f t="shared" si="5"/>
        <v>6003.1375901132851</v>
      </c>
      <c r="AP23" s="31"/>
      <c r="AQ23" s="4">
        <f t="shared" si="0"/>
        <v>0</v>
      </c>
    </row>
    <row r="24" spans="1:43" x14ac:dyDescent="0.2">
      <c r="A24" s="488"/>
      <c r="B24" s="465"/>
      <c r="C24" s="31" t="s">
        <v>84</v>
      </c>
      <c r="D24" s="31" t="s">
        <v>10</v>
      </c>
      <c r="E24" s="13">
        <v>89</v>
      </c>
      <c r="F24" s="32">
        <v>169343.68</v>
      </c>
      <c r="G24" s="31">
        <f t="shared" si="6"/>
        <v>5.2555843831904444E-4</v>
      </c>
      <c r="H24" s="488"/>
      <c r="I24" s="465"/>
      <c r="J24" s="31" t="s">
        <v>84</v>
      </c>
      <c r="K24" s="31" t="s">
        <v>10</v>
      </c>
      <c r="L24" s="13">
        <f>$G$24*M24</f>
        <v>41.979402677651898</v>
      </c>
      <c r="M24" s="12">
        <f t="shared" si="1"/>
        <v>79875.803748712657</v>
      </c>
      <c r="N24" s="42"/>
      <c r="O24" s="512"/>
      <c r="P24" s="494"/>
      <c r="Q24" s="124" t="s">
        <v>84</v>
      </c>
      <c r="R24" s="31" t="s">
        <v>10</v>
      </c>
      <c r="S24" s="13">
        <f>$G$24*T24</f>
        <v>0.18331616889804322</v>
      </c>
      <c r="T24" s="12">
        <f t="shared" si="2"/>
        <v>348.80263645726052</v>
      </c>
      <c r="U24" s="370" t="s">
        <v>150</v>
      </c>
      <c r="V24" s="488"/>
      <c r="W24" s="465"/>
      <c r="X24" s="31" t="s">
        <v>84</v>
      </c>
      <c r="Y24" s="31" t="s">
        <v>10</v>
      </c>
      <c r="Z24" s="13">
        <f>$G$24*AA24</f>
        <v>39.871266735324404</v>
      </c>
      <c r="AA24" s="12">
        <f t="shared" si="3"/>
        <v>75864.573429454162</v>
      </c>
      <c r="AB24" s="31"/>
      <c r="AC24" s="488"/>
      <c r="AD24" s="465"/>
      <c r="AE24" s="31" t="s">
        <v>84</v>
      </c>
      <c r="AF24" s="31" t="s">
        <v>10</v>
      </c>
      <c r="AG24" s="13">
        <f>$G$24*AH24</f>
        <v>0.18331616889804322</v>
      </c>
      <c r="AH24" s="12">
        <f t="shared" si="4"/>
        <v>348.80263645726052</v>
      </c>
      <c r="AI24" s="31"/>
      <c r="AJ24" s="488"/>
      <c r="AK24" s="465"/>
      <c r="AL24" s="31" t="s">
        <v>84</v>
      </c>
      <c r="AM24" s="31" t="s">
        <v>10</v>
      </c>
      <c r="AN24" s="13">
        <f>$G$24*AO24</f>
        <v>6.7826982492275993</v>
      </c>
      <c r="AO24" s="12">
        <f t="shared" si="5"/>
        <v>12905.697548918639</v>
      </c>
      <c r="AP24" s="31"/>
      <c r="AQ24" s="4">
        <f t="shared" si="0"/>
        <v>9.7699626167013776E-15</v>
      </c>
    </row>
    <row r="25" spans="1:43" x14ac:dyDescent="0.2">
      <c r="A25" s="488"/>
      <c r="B25" s="465"/>
      <c r="C25" s="31" t="s">
        <v>83</v>
      </c>
      <c r="D25" s="31" t="s">
        <v>10</v>
      </c>
      <c r="E25" s="13">
        <v>80</v>
      </c>
      <c r="F25" s="32">
        <v>20000</v>
      </c>
      <c r="G25" s="31">
        <f t="shared" si="6"/>
        <v>4.0000000000000001E-3</v>
      </c>
      <c r="H25" s="488"/>
      <c r="I25" s="465"/>
      <c r="J25" s="31" t="s">
        <v>83</v>
      </c>
      <c r="K25" s="31" t="s">
        <v>10</v>
      </c>
      <c r="L25" s="13">
        <f>$G$25*M25</f>
        <v>37.734294541709573</v>
      </c>
      <c r="M25" s="12">
        <f t="shared" si="1"/>
        <v>9433.573635427394</v>
      </c>
      <c r="N25" s="42"/>
      <c r="O25" s="512"/>
      <c r="P25" s="494"/>
      <c r="Q25" s="124" t="s">
        <v>83</v>
      </c>
      <c r="R25" s="31" t="s">
        <v>10</v>
      </c>
      <c r="S25" s="13">
        <f>$G$25*T25</f>
        <v>0.16477857878475796</v>
      </c>
      <c r="T25" s="12">
        <f t="shared" si="2"/>
        <v>41.194644696189492</v>
      </c>
      <c r="U25" s="370" t="s">
        <v>150</v>
      </c>
      <c r="V25" s="488"/>
      <c r="W25" s="465"/>
      <c r="X25" s="31" t="s">
        <v>83</v>
      </c>
      <c r="Y25" s="31" t="s">
        <v>10</v>
      </c>
      <c r="Z25" s="13">
        <f>$G$25*AA25</f>
        <v>35.839340885684862</v>
      </c>
      <c r="AA25" s="12">
        <f t="shared" si="3"/>
        <v>8959.8352214212155</v>
      </c>
      <c r="AB25" s="31"/>
      <c r="AC25" s="488"/>
      <c r="AD25" s="465"/>
      <c r="AE25" s="31" t="s">
        <v>83</v>
      </c>
      <c r="AF25" s="31" t="s">
        <v>10</v>
      </c>
      <c r="AG25" s="13">
        <f>$G$25*AH25</f>
        <v>0.16477857878475796</v>
      </c>
      <c r="AH25" s="12">
        <f t="shared" si="4"/>
        <v>41.194644696189492</v>
      </c>
      <c r="AI25" s="31"/>
      <c r="AJ25" s="488"/>
      <c r="AK25" s="465"/>
      <c r="AL25" s="31" t="s">
        <v>83</v>
      </c>
      <c r="AM25" s="31" t="s">
        <v>10</v>
      </c>
      <c r="AN25" s="13">
        <f>$G$25*AO25</f>
        <v>6.0968074150360456</v>
      </c>
      <c r="AO25" s="12">
        <f t="shared" si="5"/>
        <v>1524.2018537590113</v>
      </c>
      <c r="AP25" s="31"/>
      <c r="AQ25" s="4">
        <f t="shared" si="0"/>
        <v>0</v>
      </c>
    </row>
    <row r="26" spans="1:43" ht="15" thickBot="1" x14ac:dyDescent="0.25">
      <c r="A26" s="488"/>
      <c r="B26" s="465"/>
      <c r="C26" s="31" t="s">
        <v>82</v>
      </c>
      <c r="D26" s="31" t="s">
        <v>10</v>
      </c>
      <c r="E26" s="13">
        <v>520</v>
      </c>
      <c r="F26" s="32">
        <v>34776.748999999996</v>
      </c>
      <c r="G26" s="31">
        <f t="shared" si="6"/>
        <v>1.4952518994803109E-2</v>
      </c>
      <c r="H26" s="488"/>
      <c r="I26" s="465"/>
      <c r="J26" s="31" t="s">
        <v>82</v>
      </c>
      <c r="K26" s="31" t="s">
        <v>10</v>
      </c>
      <c r="L26" s="13">
        <f>$G$26*M26</f>
        <v>245.2729145211122</v>
      </c>
      <c r="M26" s="12">
        <f t="shared" si="1"/>
        <v>16403.451124613795</v>
      </c>
      <c r="N26" s="42"/>
      <c r="O26" s="512"/>
      <c r="P26" s="494"/>
      <c r="Q26" s="124" t="s">
        <v>82</v>
      </c>
      <c r="R26" s="31" t="s">
        <v>10</v>
      </c>
      <c r="S26" s="13">
        <f>$G$26*T26</f>
        <v>1.0710607621009269</v>
      </c>
      <c r="T26" s="12">
        <f t="shared" si="2"/>
        <v>71.630790937178162</v>
      </c>
      <c r="U26" s="370" t="s">
        <v>150</v>
      </c>
      <c r="V26" s="488"/>
      <c r="W26" s="465"/>
      <c r="X26" s="31" t="s">
        <v>82</v>
      </c>
      <c r="Y26" s="31" t="s">
        <v>10</v>
      </c>
      <c r="Z26" s="13">
        <f>$G$26*AA26</f>
        <v>232.95571575695161</v>
      </c>
      <c r="AA26" s="12">
        <f t="shared" si="3"/>
        <v>15579.69702883625</v>
      </c>
      <c r="AB26" s="31"/>
      <c r="AC26" s="488"/>
      <c r="AD26" s="465"/>
      <c r="AE26" s="31" t="s">
        <v>82</v>
      </c>
      <c r="AF26" s="31" t="s">
        <v>10</v>
      </c>
      <c r="AG26" s="13">
        <f>$G$26*AH26</f>
        <v>1.0710607621009269</v>
      </c>
      <c r="AH26" s="12">
        <f t="shared" si="4"/>
        <v>71.630790937178162</v>
      </c>
      <c r="AI26" s="31"/>
      <c r="AJ26" s="488"/>
      <c r="AK26" s="465"/>
      <c r="AL26" s="31" t="s">
        <v>82</v>
      </c>
      <c r="AM26" s="31" t="s">
        <v>10</v>
      </c>
      <c r="AN26" s="13">
        <f>$G$26*AO26</f>
        <v>39.629248197734292</v>
      </c>
      <c r="AO26" s="12">
        <f t="shared" si="5"/>
        <v>2650.3392646755919</v>
      </c>
      <c r="AP26" s="31"/>
      <c r="AQ26" s="4">
        <f t="shared" si="0"/>
        <v>1.0658141036401503E-13</v>
      </c>
    </row>
    <row r="27" spans="1:43" ht="15" hidden="1" customHeight="1" thickBot="1" x14ac:dyDescent="0.25">
      <c r="A27" s="488"/>
      <c r="B27" s="464"/>
      <c r="C27" s="111" t="s">
        <v>2</v>
      </c>
      <c r="D27" s="110"/>
      <c r="E27" s="109"/>
      <c r="F27" s="112">
        <f>SUM(F13:F26)</f>
        <v>3647534.0397892455</v>
      </c>
      <c r="G27" s="108">
        <f>SUM(G22:G26)</f>
        <v>2.3656666565308238E-2</v>
      </c>
      <c r="H27" s="488"/>
      <c r="I27" s="464"/>
      <c r="J27" s="111" t="s">
        <v>2</v>
      </c>
      <c r="K27" s="110"/>
      <c r="L27" s="109"/>
      <c r="M27" s="51">
        <f>$F$27/$G$2*H2</f>
        <v>1720464.04760399</v>
      </c>
      <c r="N27" s="360">
        <f>SUM(N22:N26)</f>
        <v>0</v>
      </c>
      <c r="O27" s="512"/>
      <c r="P27" s="494"/>
      <c r="Q27" s="203" t="s">
        <v>2</v>
      </c>
      <c r="R27" s="110"/>
      <c r="S27" s="109"/>
      <c r="T27" s="68">
        <f>$F$27/$G$2*I2</f>
        <v>7512.9434393187339</v>
      </c>
      <c r="U27" s="108">
        <f>SUM(U22:U26)</f>
        <v>0</v>
      </c>
      <c r="V27" s="488"/>
      <c r="W27" s="464"/>
      <c r="X27" s="111" t="s">
        <v>2</v>
      </c>
      <c r="Y27" s="110"/>
      <c r="Z27" s="109"/>
      <c r="AA27" s="51">
        <f>$F$27/$G$2*J2</f>
        <v>1634065.1980518247</v>
      </c>
      <c r="AB27" s="108">
        <f>SUM(AB22:AB26)</f>
        <v>0</v>
      </c>
      <c r="AC27" s="488"/>
      <c r="AD27" s="464"/>
      <c r="AE27" s="111" t="s">
        <v>2</v>
      </c>
      <c r="AF27" s="110"/>
      <c r="AG27" s="109"/>
      <c r="AH27" s="51">
        <f>$F$27/$G$2*K2</f>
        <v>7512.9434393187339</v>
      </c>
      <c r="AI27" s="108">
        <f>SUM(AI22:AI26)</f>
        <v>0</v>
      </c>
      <c r="AJ27" s="488"/>
      <c r="AK27" s="464"/>
      <c r="AL27" s="111" t="s">
        <v>2</v>
      </c>
      <c r="AM27" s="110"/>
      <c r="AN27" s="109"/>
      <c r="AO27" s="51">
        <f>$F$27/$G$2*L2</f>
        <v>277978.90725479316</v>
      </c>
      <c r="AP27" s="108">
        <f>SUM(AP22:AP26)</f>
        <v>0</v>
      </c>
      <c r="AQ27" s="4">
        <f t="shared" si="0"/>
        <v>0</v>
      </c>
    </row>
    <row r="28" spans="1:43" ht="15" thickBot="1" x14ac:dyDescent="0.25">
      <c r="A28" s="488"/>
      <c r="B28" s="464"/>
      <c r="C28" s="466" t="s">
        <v>81</v>
      </c>
      <c r="D28" s="466"/>
      <c r="E28" s="466"/>
      <c r="F28" s="466"/>
      <c r="G28" s="467"/>
      <c r="H28" s="488"/>
      <c r="I28" s="464"/>
      <c r="J28" s="466" t="s">
        <v>81</v>
      </c>
      <c r="K28" s="466"/>
      <c r="L28" s="466"/>
      <c r="M28" s="466"/>
      <c r="N28" s="466"/>
      <c r="O28" s="512"/>
      <c r="P28" s="494"/>
      <c r="Q28" s="466" t="s">
        <v>81</v>
      </c>
      <c r="R28" s="466"/>
      <c r="S28" s="466"/>
      <c r="T28" s="498"/>
      <c r="U28" s="467"/>
      <c r="V28" s="488"/>
      <c r="W28" s="464"/>
      <c r="X28" s="466" t="s">
        <v>81</v>
      </c>
      <c r="Y28" s="466"/>
      <c r="Z28" s="466"/>
      <c r="AA28" s="466"/>
      <c r="AB28" s="467"/>
      <c r="AC28" s="488"/>
      <c r="AD28" s="464"/>
      <c r="AE28" s="466" t="s">
        <v>81</v>
      </c>
      <c r="AF28" s="466"/>
      <c r="AG28" s="466"/>
      <c r="AH28" s="466"/>
      <c r="AI28" s="467"/>
      <c r="AJ28" s="488"/>
      <c r="AK28" s="464"/>
      <c r="AL28" s="466" t="s">
        <v>81</v>
      </c>
      <c r="AM28" s="466"/>
      <c r="AN28" s="466"/>
      <c r="AO28" s="466"/>
      <c r="AP28" s="467"/>
      <c r="AQ28" s="4">
        <f t="shared" si="0"/>
        <v>0</v>
      </c>
    </row>
    <row r="29" spans="1:43" ht="14.25" customHeight="1" thickBot="1" x14ac:dyDescent="0.25">
      <c r="A29" s="488"/>
      <c r="B29" s="464"/>
      <c r="C29" s="38"/>
      <c r="D29" s="38"/>
      <c r="E29" s="38"/>
      <c r="F29" s="38"/>
      <c r="G29" s="38"/>
      <c r="H29" s="488"/>
      <c r="I29" s="464"/>
      <c r="J29" s="38"/>
      <c r="K29" s="38"/>
      <c r="L29" s="38"/>
      <c r="M29" s="38"/>
      <c r="N29" s="328"/>
      <c r="O29" s="512"/>
      <c r="P29" s="495"/>
      <c r="Q29" s="38" t="s">
        <v>140</v>
      </c>
      <c r="R29" s="38" t="s">
        <v>140</v>
      </c>
      <c r="S29" s="38" t="s">
        <v>140</v>
      </c>
      <c r="T29" s="38"/>
      <c r="U29" s="38" t="s">
        <v>140</v>
      </c>
      <c r="V29" s="488"/>
      <c r="W29" s="464"/>
      <c r="X29" s="38"/>
      <c r="Y29" s="38"/>
      <c r="Z29" s="38"/>
      <c r="AA29" s="38"/>
      <c r="AB29" s="38"/>
      <c r="AC29" s="488"/>
      <c r="AD29" s="464"/>
      <c r="AE29" s="38"/>
      <c r="AF29" s="38"/>
      <c r="AG29" s="38"/>
      <c r="AH29" s="38"/>
      <c r="AI29" s="38"/>
      <c r="AJ29" s="488"/>
      <c r="AK29" s="464"/>
      <c r="AL29" s="38"/>
      <c r="AM29" s="38"/>
      <c r="AN29" s="38"/>
      <c r="AO29" s="38"/>
      <c r="AP29" s="38"/>
      <c r="AQ29" s="4" t="e">
        <f t="shared" si="0"/>
        <v>#VALUE!</v>
      </c>
    </row>
    <row r="30" spans="1:43" ht="15" thickBot="1" x14ac:dyDescent="0.25">
      <c r="A30" s="488"/>
      <c r="B30" s="463"/>
      <c r="C30" s="466" t="s">
        <v>80</v>
      </c>
      <c r="D30" s="466"/>
      <c r="E30" s="466"/>
      <c r="F30" s="466"/>
      <c r="G30" s="467"/>
      <c r="H30" s="488"/>
      <c r="I30" s="463"/>
      <c r="J30" s="466" t="s">
        <v>80</v>
      </c>
      <c r="K30" s="466"/>
      <c r="L30" s="466"/>
      <c r="M30" s="466"/>
      <c r="N30" s="466"/>
      <c r="O30" s="512"/>
      <c r="P30" s="463"/>
      <c r="Q30" s="466" t="s">
        <v>80</v>
      </c>
      <c r="R30" s="466"/>
      <c r="S30" s="466"/>
      <c r="T30" s="466"/>
      <c r="U30" s="467"/>
      <c r="V30" s="488"/>
      <c r="W30" s="463"/>
      <c r="X30" s="466" t="s">
        <v>80</v>
      </c>
      <c r="Y30" s="466"/>
      <c r="Z30" s="466"/>
      <c r="AA30" s="466"/>
      <c r="AB30" s="467"/>
      <c r="AC30" s="488"/>
      <c r="AD30" s="463"/>
      <c r="AE30" s="466" t="s">
        <v>80</v>
      </c>
      <c r="AF30" s="466"/>
      <c r="AG30" s="466"/>
      <c r="AH30" s="466"/>
      <c r="AI30" s="467"/>
      <c r="AJ30" s="488"/>
      <c r="AK30" s="463"/>
      <c r="AL30" s="466" t="s">
        <v>80</v>
      </c>
      <c r="AM30" s="466"/>
      <c r="AN30" s="466"/>
      <c r="AO30" s="466"/>
      <c r="AP30" s="467"/>
      <c r="AQ30" s="4">
        <f t="shared" si="0"/>
        <v>0</v>
      </c>
    </row>
    <row r="31" spans="1:43" x14ac:dyDescent="0.2">
      <c r="A31" s="488"/>
      <c r="B31" s="464"/>
      <c r="C31" s="468" t="s">
        <v>79</v>
      </c>
      <c r="D31" s="468"/>
      <c r="E31" s="468"/>
      <c r="F31" s="468"/>
      <c r="G31" s="469"/>
      <c r="H31" s="488"/>
      <c r="I31" s="464"/>
      <c r="J31" s="468" t="s">
        <v>79</v>
      </c>
      <c r="K31" s="468"/>
      <c r="L31" s="468"/>
      <c r="M31" s="468"/>
      <c r="N31" s="468"/>
      <c r="O31" s="512"/>
      <c r="P31" s="464"/>
      <c r="Q31" s="468" t="s">
        <v>79</v>
      </c>
      <c r="R31" s="468"/>
      <c r="S31" s="468"/>
      <c r="T31" s="468"/>
      <c r="U31" s="469"/>
      <c r="V31" s="488"/>
      <c r="W31" s="464"/>
      <c r="X31" s="468" t="s">
        <v>79</v>
      </c>
      <c r="Y31" s="468"/>
      <c r="Z31" s="468"/>
      <c r="AA31" s="468"/>
      <c r="AB31" s="469"/>
      <c r="AC31" s="488"/>
      <c r="AD31" s="464"/>
      <c r="AE31" s="468" t="s">
        <v>79</v>
      </c>
      <c r="AF31" s="468"/>
      <c r="AG31" s="468"/>
      <c r="AH31" s="468"/>
      <c r="AI31" s="469"/>
      <c r="AJ31" s="488"/>
      <c r="AK31" s="464"/>
      <c r="AL31" s="468" t="s">
        <v>79</v>
      </c>
      <c r="AM31" s="468"/>
      <c r="AN31" s="468"/>
      <c r="AO31" s="468"/>
      <c r="AP31" s="469"/>
      <c r="AQ31" s="4">
        <f t="shared" si="0"/>
        <v>0</v>
      </c>
    </row>
    <row r="32" spans="1:43" x14ac:dyDescent="0.2">
      <c r="A32" s="488"/>
      <c r="B32" s="465"/>
      <c r="C32" s="123" t="s">
        <v>78</v>
      </c>
      <c r="D32" s="122" t="s">
        <v>77</v>
      </c>
      <c r="E32" s="72">
        <v>187000</v>
      </c>
      <c r="F32" s="12">
        <v>1273617.73</v>
      </c>
      <c r="G32" s="94">
        <f>E32/F32</f>
        <v>0.14682584545992461</v>
      </c>
      <c r="H32" s="488"/>
      <c r="I32" s="465"/>
      <c r="J32" s="123" t="s">
        <v>78</v>
      </c>
      <c r="K32" s="122" t="s">
        <v>77</v>
      </c>
      <c r="L32" s="72">
        <f>$G$32*M32</f>
        <v>96330.993987828901</v>
      </c>
      <c r="M32" s="12">
        <f t="shared" ref="M32:M38" si="7">$M$39/$F$39*F32</f>
        <v>656090.17054236529</v>
      </c>
      <c r="N32" s="361"/>
      <c r="O32" s="512"/>
      <c r="P32" s="464"/>
      <c r="Q32" s="200" t="s">
        <v>78</v>
      </c>
      <c r="R32" s="122" t="s">
        <v>77</v>
      </c>
      <c r="S32" s="72">
        <f>$G$32*T32</f>
        <v>420.65936239226596</v>
      </c>
      <c r="T32" s="12">
        <f t="shared" ref="T32:T38" si="8">$T$39/$F$39*F32</f>
        <v>2865.0225787876211</v>
      </c>
      <c r="U32" s="91" t="s">
        <v>150</v>
      </c>
      <c r="V32" s="488"/>
      <c r="W32" s="465"/>
      <c r="X32" s="123" t="s">
        <v>78</v>
      </c>
      <c r="Y32" s="122" t="s">
        <v>77</v>
      </c>
      <c r="Z32" s="72">
        <f>$G$32*AA32</f>
        <v>76825.891777602985</v>
      </c>
      <c r="AA32" s="12">
        <f t="shared" ref="AA32:AA38" si="9">$AA$39/$F$39*F32</f>
        <v>523245.0154599807</v>
      </c>
      <c r="AB32" s="121"/>
      <c r="AC32" s="488"/>
      <c r="AD32" s="465"/>
      <c r="AE32" s="123" t="s">
        <v>78</v>
      </c>
      <c r="AF32" s="122" t="s">
        <v>77</v>
      </c>
      <c r="AG32" s="72">
        <f>$G$32*AH32</f>
        <v>353.22249093150799</v>
      </c>
      <c r="AH32" s="12">
        <f t="shared" ref="AH32:AH38" si="10">$AH$39/$F$39*F32</f>
        <v>2405.7242090114055</v>
      </c>
      <c r="AI32" s="121"/>
      <c r="AJ32" s="488"/>
      <c r="AK32" s="465"/>
      <c r="AL32" s="123" t="s">
        <v>78</v>
      </c>
      <c r="AM32" s="122" t="s">
        <v>77</v>
      </c>
      <c r="AN32" s="72">
        <f>$G$32*AO32</f>
        <v>13069.232164465797</v>
      </c>
      <c r="AO32" s="12">
        <f t="shared" ref="AO32:AO38" si="11">$AO$39/$F$39*F32</f>
        <v>89011.795733422012</v>
      </c>
      <c r="AP32" s="121"/>
      <c r="AQ32" s="4">
        <f t="shared" si="0"/>
        <v>2.1677854238077998E-4</v>
      </c>
    </row>
    <row r="33" spans="1:43" s="21" customFormat="1" x14ac:dyDescent="0.2">
      <c r="A33" s="488"/>
      <c r="B33" s="465"/>
      <c r="C33" s="116" t="s">
        <v>76</v>
      </c>
      <c r="D33" s="115" t="s">
        <v>75</v>
      </c>
      <c r="E33" s="114">
        <v>1400</v>
      </c>
      <c r="F33" s="28">
        <v>1620579.4899839996</v>
      </c>
      <c r="G33" s="94">
        <f>E33/F33</f>
        <v>8.63888509420678E-4</v>
      </c>
      <c r="H33" s="488"/>
      <c r="I33" s="465"/>
      <c r="J33" s="116" t="s">
        <v>76</v>
      </c>
      <c r="K33" s="115" t="s">
        <v>75</v>
      </c>
      <c r="L33" s="114">
        <f>$G$33*M33</f>
        <v>721.19460739551062</v>
      </c>
      <c r="M33" s="28">
        <f t="shared" si="7"/>
        <v>834823.70645159099</v>
      </c>
      <c r="N33" s="362"/>
      <c r="O33" s="512"/>
      <c r="P33" s="464"/>
      <c r="Q33" s="201" t="s">
        <v>76</v>
      </c>
      <c r="R33" s="115" t="s">
        <v>75</v>
      </c>
      <c r="S33" s="114">
        <f>$G$33*T33</f>
        <v>3.1493214296747185</v>
      </c>
      <c r="T33" s="28">
        <f t="shared" si="8"/>
        <v>3645.51836878424</v>
      </c>
      <c r="U33" s="320" t="s">
        <v>150</v>
      </c>
      <c r="V33" s="488"/>
      <c r="W33" s="465"/>
      <c r="X33" s="116" t="s">
        <v>76</v>
      </c>
      <c r="Y33" s="115" t="s">
        <v>75</v>
      </c>
      <c r="Z33" s="114">
        <f>$G$33*AA33</f>
        <v>575.16710421734865</v>
      </c>
      <c r="AA33" s="28">
        <f t="shared" si="9"/>
        <v>665788.58029151778</v>
      </c>
      <c r="AB33" s="113"/>
      <c r="AC33" s="488"/>
      <c r="AD33" s="465"/>
      <c r="AE33" s="116" t="s">
        <v>76</v>
      </c>
      <c r="AF33" s="115" t="s">
        <v>75</v>
      </c>
      <c r="AG33" s="114">
        <f>$G$33*AH33</f>
        <v>2.644446456171718</v>
      </c>
      <c r="AH33" s="28">
        <f t="shared" si="10"/>
        <v>3061.0969208805413</v>
      </c>
      <c r="AI33" s="113"/>
      <c r="AJ33" s="488"/>
      <c r="AK33" s="465"/>
      <c r="AL33" s="116" t="s">
        <v>76</v>
      </c>
      <c r="AM33" s="115" t="s">
        <v>75</v>
      </c>
      <c r="AN33" s="114">
        <f>$G$33*AO33</f>
        <v>97.844518878353583</v>
      </c>
      <c r="AO33" s="28">
        <f t="shared" si="11"/>
        <v>113260.58607258004</v>
      </c>
      <c r="AP33" s="113"/>
      <c r="AQ33" s="4">
        <f t="shared" si="0"/>
        <v>1.6229407009404895E-6</v>
      </c>
    </row>
    <row r="34" spans="1:43" s="21" customFormat="1" ht="57" x14ac:dyDescent="0.2">
      <c r="A34" s="488"/>
      <c r="B34" s="465"/>
      <c r="C34" s="116" t="s">
        <v>74</v>
      </c>
      <c r="D34" s="115" t="s">
        <v>69</v>
      </c>
      <c r="E34" s="114">
        <v>5111.9040000000005</v>
      </c>
      <c r="F34" s="28">
        <v>103802.10996879359</v>
      </c>
      <c r="G34" s="94">
        <f>E34/F34</f>
        <v>4.9246629009148377E-2</v>
      </c>
      <c r="H34" s="488"/>
      <c r="I34" s="465"/>
      <c r="J34" s="116" t="s">
        <v>74</v>
      </c>
      <c r="K34" s="115" t="s">
        <v>69</v>
      </c>
      <c r="L34" s="114">
        <f>$G$34*M34</f>
        <v>2633.3411416596718</v>
      </c>
      <c r="M34" s="28">
        <f t="shared" si="7"/>
        <v>53472.515675549796</v>
      </c>
      <c r="N34" s="362"/>
      <c r="O34" s="512"/>
      <c r="P34" s="464"/>
      <c r="Q34" s="201" t="s">
        <v>74</v>
      </c>
      <c r="R34" s="115" t="s">
        <v>69</v>
      </c>
      <c r="S34" s="114">
        <f>$G$34*T34</f>
        <v>11.49930629545708</v>
      </c>
      <c r="T34" s="28">
        <f t="shared" si="8"/>
        <v>233.50443526440955</v>
      </c>
      <c r="U34" s="358" t="s">
        <v>148</v>
      </c>
      <c r="V34" s="488"/>
      <c r="W34" s="465"/>
      <c r="X34" s="116" t="s">
        <v>74</v>
      </c>
      <c r="Y34" s="115" t="s">
        <v>69</v>
      </c>
      <c r="Z34" s="114">
        <f>$G$34*AA34</f>
        <v>2100.1421576550583</v>
      </c>
      <c r="AA34" s="28">
        <f t="shared" si="9"/>
        <v>42645.399287429849</v>
      </c>
      <c r="AB34" s="113"/>
      <c r="AC34" s="488"/>
      <c r="AD34" s="465"/>
      <c r="AE34" s="116" t="s">
        <v>74</v>
      </c>
      <c r="AF34" s="115" t="s">
        <v>69</v>
      </c>
      <c r="AG34" s="114">
        <f>$G$34*AH34</f>
        <v>9.6558260122071662</v>
      </c>
      <c r="AH34" s="28">
        <f t="shared" si="10"/>
        <v>196.07080132151657</v>
      </c>
      <c r="AI34" s="113"/>
      <c r="AJ34" s="488"/>
      <c r="AK34" s="465"/>
      <c r="AL34" s="116" t="s">
        <v>74</v>
      </c>
      <c r="AM34" s="115" t="s">
        <v>69</v>
      </c>
      <c r="AN34" s="114">
        <f>$G$34*AO34</f>
        <v>357.26556245166512</v>
      </c>
      <c r="AO34" s="28">
        <f t="shared" si="11"/>
        <v>7254.6196488961132</v>
      </c>
      <c r="AP34" s="113"/>
      <c r="AQ34" s="4">
        <f t="shared" si="0"/>
        <v>5.9259407407807885E-6</v>
      </c>
    </row>
    <row r="35" spans="1:43" s="21" customFormat="1" ht="57" x14ac:dyDescent="0.2">
      <c r="A35" s="488"/>
      <c r="B35" s="465"/>
      <c r="C35" s="120" t="s">
        <v>73</v>
      </c>
      <c r="D35" s="115" t="s">
        <v>69</v>
      </c>
      <c r="E35" s="114">
        <v>240</v>
      </c>
      <c r="F35" s="28">
        <v>277813.62685439992</v>
      </c>
      <c r="G35" s="94">
        <f>E35/F35</f>
        <v>8.63888509420678E-4</v>
      </c>
      <c r="H35" s="488"/>
      <c r="I35" s="465"/>
      <c r="J35" s="120" t="s">
        <v>73</v>
      </c>
      <c r="K35" s="115" t="s">
        <v>69</v>
      </c>
      <c r="L35" s="114">
        <f>$G$35*M35</f>
        <v>123.6333612678018</v>
      </c>
      <c r="M35" s="28">
        <f t="shared" si="7"/>
        <v>143112.6353917013</v>
      </c>
      <c r="N35" s="362"/>
      <c r="O35" s="512"/>
      <c r="P35" s="464"/>
      <c r="Q35" s="202" t="s">
        <v>73</v>
      </c>
      <c r="R35" s="115" t="s">
        <v>69</v>
      </c>
      <c r="S35" s="114">
        <f>$G$35*T35</f>
        <v>0.53988367365852308</v>
      </c>
      <c r="T35" s="28">
        <f t="shared" si="8"/>
        <v>624.94600607729819</v>
      </c>
      <c r="U35" s="358" t="s">
        <v>148</v>
      </c>
      <c r="V35" s="488"/>
      <c r="W35" s="465"/>
      <c r="X35" s="120" t="s">
        <v>73</v>
      </c>
      <c r="Y35" s="115" t="s">
        <v>69</v>
      </c>
      <c r="Z35" s="114">
        <f>$G$35*AA35</f>
        <v>98.600075008688336</v>
      </c>
      <c r="AA35" s="28">
        <f t="shared" si="9"/>
        <v>114135.1851928316</v>
      </c>
      <c r="AB35" s="113"/>
      <c r="AC35" s="488"/>
      <c r="AD35" s="465"/>
      <c r="AE35" s="120" t="s">
        <v>73</v>
      </c>
      <c r="AF35" s="115" t="s">
        <v>69</v>
      </c>
      <c r="AG35" s="114">
        <f>$G$35*AH35</f>
        <v>0.4533336782008659</v>
      </c>
      <c r="AH35" s="28">
        <f t="shared" si="10"/>
        <v>524.75947215094993</v>
      </c>
      <c r="AI35" s="113"/>
      <c r="AJ35" s="488"/>
      <c r="AK35" s="465"/>
      <c r="AL35" s="120" t="s">
        <v>73</v>
      </c>
      <c r="AM35" s="115" t="s">
        <v>69</v>
      </c>
      <c r="AN35" s="114">
        <f>$G$35*AO35</f>
        <v>16.773346093432039</v>
      </c>
      <c r="AO35" s="28">
        <f t="shared" si="11"/>
        <v>19416.100469585148</v>
      </c>
      <c r="AP35" s="113"/>
      <c r="AQ35" s="4">
        <f t="shared" si="0"/>
        <v>2.7821843318065476E-7</v>
      </c>
    </row>
    <row r="36" spans="1:43" s="21" customFormat="1" ht="57" x14ac:dyDescent="0.2">
      <c r="A36" s="488"/>
      <c r="B36" s="465"/>
      <c r="C36" s="116" t="s">
        <v>72</v>
      </c>
      <c r="D36" s="115" t="s">
        <v>69</v>
      </c>
      <c r="E36" s="117"/>
      <c r="F36" s="119"/>
      <c r="G36" s="118"/>
      <c r="H36" s="488"/>
      <c r="I36" s="465"/>
      <c r="J36" s="116" t="s">
        <v>72</v>
      </c>
      <c r="K36" s="115" t="s">
        <v>69</v>
      </c>
      <c r="L36" s="117"/>
      <c r="M36" s="28">
        <f t="shared" si="7"/>
        <v>0</v>
      </c>
      <c r="N36" s="362"/>
      <c r="O36" s="512"/>
      <c r="P36" s="464"/>
      <c r="Q36" s="201" t="s">
        <v>72</v>
      </c>
      <c r="R36" s="115" t="s">
        <v>69</v>
      </c>
      <c r="S36" s="117"/>
      <c r="T36" s="28">
        <f t="shared" si="8"/>
        <v>0</v>
      </c>
      <c r="U36" s="358" t="s">
        <v>148</v>
      </c>
      <c r="V36" s="488"/>
      <c r="W36" s="465"/>
      <c r="X36" s="116" t="s">
        <v>72</v>
      </c>
      <c r="Y36" s="115" t="s">
        <v>69</v>
      </c>
      <c r="Z36" s="117"/>
      <c r="AA36" s="28">
        <f t="shared" si="9"/>
        <v>0</v>
      </c>
      <c r="AB36" s="113"/>
      <c r="AC36" s="488"/>
      <c r="AD36" s="465"/>
      <c r="AE36" s="116" t="s">
        <v>72</v>
      </c>
      <c r="AF36" s="115" t="s">
        <v>69</v>
      </c>
      <c r="AG36" s="117"/>
      <c r="AH36" s="28">
        <f t="shared" si="10"/>
        <v>0</v>
      </c>
      <c r="AI36" s="113"/>
      <c r="AJ36" s="488"/>
      <c r="AK36" s="465"/>
      <c r="AL36" s="116" t="s">
        <v>72</v>
      </c>
      <c r="AM36" s="115" t="s">
        <v>69</v>
      </c>
      <c r="AN36" s="117"/>
      <c r="AO36" s="28">
        <f t="shared" si="11"/>
        <v>0</v>
      </c>
      <c r="AP36" s="113"/>
      <c r="AQ36" s="4">
        <f t="shared" si="0"/>
        <v>0</v>
      </c>
    </row>
    <row r="37" spans="1:43" s="21" customFormat="1" ht="57" x14ac:dyDescent="0.2">
      <c r="A37" s="488"/>
      <c r="B37" s="465"/>
      <c r="C37" s="116" t="s">
        <v>71</v>
      </c>
      <c r="D37" s="115" t="s">
        <v>69</v>
      </c>
      <c r="E37" s="114">
        <v>2633.3999999999996</v>
      </c>
      <c r="F37" s="28">
        <v>53473.710850559983</v>
      </c>
      <c r="G37" s="94">
        <f>E37/F37</f>
        <v>4.9246629009148377E-2</v>
      </c>
      <c r="H37" s="488"/>
      <c r="I37" s="465"/>
      <c r="J37" s="116" t="s">
        <v>71</v>
      </c>
      <c r="K37" s="115" t="s">
        <v>69</v>
      </c>
      <c r="L37" s="114">
        <f>$G$37*M37</f>
        <v>1356.5670565109551</v>
      </c>
      <c r="M37" s="28">
        <f t="shared" si="7"/>
        <v>27546.3942163219</v>
      </c>
      <c r="N37" s="362"/>
      <c r="O37" s="512"/>
      <c r="P37" s="464"/>
      <c r="Q37" s="201" t="s">
        <v>71</v>
      </c>
      <c r="R37" s="115" t="s">
        <v>69</v>
      </c>
      <c r="S37" s="114">
        <f>$G$37*T37</f>
        <v>5.9238736092181439</v>
      </c>
      <c r="T37" s="28">
        <f t="shared" si="8"/>
        <v>120.28993107564148</v>
      </c>
      <c r="U37" s="358" t="s">
        <v>148</v>
      </c>
      <c r="V37" s="488"/>
      <c r="W37" s="465"/>
      <c r="X37" s="116" t="s">
        <v>71</v>
      </c>
      <c r="Y37" s="115" t="s">
        <v>69</v>
      </c>
      <c r="Z37" s="114">
        <f>$G$37*AA37</f>
        <v>1081.8893230328326</v>
      </c>
      <c r="AA37" s="28">
        <f t="shared" si="9"/>
        <v>21968.799586908859</v>
      </c>
      <c r="AB37" s="113"/>
      <c r="AC37" s="488"/>
      <c r="AD37" s="465"/>
      <c r="AE37" s="116" t="s">
        <v>71</v>
      </c>
      <c r="AF37" s="115" t="s">
        <v>69</v>
      </c>
      <c r="AG37" s="114">
        <f>$G$37*AH37</f>
        <v>4.9742037840590001</v>
      </c>
      <c r="AH37" s="28">
        <f t="shared" si="10"/>
        <v>101.00597511222463</v>
      </c>
      <c r="AI37" s="113"/>
      <c r="AJ37" s="488"/>
      <c r="AK37" s="465"/>
      <c r="AL37" s="116" t="s">
        <v>71</v>
      </c>
      <c r="AM37" s="115" t="s">
        <v>69</v>
      </c>
      <c r="AN37" s="114">
        <f>$G$37*AO37</f>
        <v>184.04554001018303</v>
      </c>
      <c r="AO37" s="28">
        <f t="shared" si="11"/>
        <v>3737.2210791523116</v>
      </c>
      <c r="AP37" s="113"/>
      <c r="AQ37" s="4">
        <f t="shared" si="0"/>
        <v>3.052751679888388E-6</v>
      </c>
    </row>
    <row r="38" spans="1:43" s="21" customFormat="1" ht="57.75" thickBot="1" x14ac:dyDescent="0.25">
      <c r="A38" s="488"/>
      <c r="B38" s="465"/>
      <c r="C38" s="116" t="s">
        <v>70</v>
      </c>
      <c r="D38" s="115" t="s">
        <v>69</v>
      </c>
      <c r="E38" s="114">
        <v>7745.2919999999995</v>
      </c>
      <c r="F38" s="28">
        <v>42734.416251239993</v>
      </c>
      <c r="G38" s="94">
        <f>E38/F38</f>
        <v>0.18124248976433041</v>
      </c>
      <c r="H38" s="488"/>
      <c r="I38" s="465"/>
      <c r="J38" s="116" t="s">
        <v>70</v>
      </c>
      <c r="K38" s="115" t="s">
        <v>69</v>
      </c>
      <c r="L38" s="114">
        <f>$G$38*M38</f>
        <v>3989.9020165025631</v>
      </c>
      <c r="M38" s="28">
        <f t="shared" si="7"/>
        <v>22014.164678992394</v>
      </c>
      <c r="N38" s="362"/>
      <c r="O38" s="512"/>
      <c r="P38" s="464"/>
      <c r="Q38" s="201" t="s">
        <v>70</v>
      </c>
      <c r="R38" s="115" t="s">
        <v>69</v>
      </c>
      <c r="S38" s="114">
        <f>$G$38*T38</f>
        <v>17.423152910491542</v>
      </c>
      <c r="T38" s="28">
        <f t="shared" si="8"/>
        <v>96.131723489049747</v>
      </c>
      <c r="U38" s="358" t="s">
        <v>148</v>
      </c>
      <c r="V38" s="488"/>
      <c r="W38" s="465"/>
      <c r="X38" s="116" t="s">
        <v>70</v>
      </c>
      <c r="Y38" s="115" t="s">
        <v>69</v>
      </c>
      <c r="Z38" s="114">
        <f>$G$38*AA38</f>
        <v>3182.0265506841401</v>
      </c>
      <c r="AA38" s="28">
        <f t="shared" si="9"/>
        <v>17556.736032603221</v>
      </c>
      <c r="AB38" s="113"/>
      <c r="AC38" s="488"/>
      <c r="AD38" s="465"/>
      <c r="AE38" s="116" t="s">
        <v>70</v>
      </c>
      <c r="AF38" s="115" t="s">
        <v>69</v>
      </c>
      <c r="AG38" s="114">
        <f>$G$38*AH38</f>
        <v>14.630007129582257</v>
      </c>
      <c r="AH38" s="28">
        <f t="shared" si="10"/>
        <v>80.720625437256203</v>
      </c>
      <c r="AI38" s="113"/>
      <c r="AJ38" s="488"/>
      <c r="AK38" s="465"/>
      <c r="AL38" s="116" t="s">
        <v>70</v>
      </c>
      <c r="AM38" s="115" t="s">
        <v>69</v>
      </c>
      <c r="AN38" s="114">
        <f>$G$38*AO38</f>
        <v>541.3102637945434</v>
      </c>
      <c r="AO38" s="28">
        <f t="shared" si="11"/>
        <v>2986.6631411784792</v>
      </c>
      <c r="AP38" s="113"/>
      <c r="AQ38" s="4">
        <f t="shared" si="0"/>
        <v>8.9786791477308725E-6</v>
      </c>
    </row>
    <row r="39" spans="1:43" ht="15" hidden="1" customHeight="1" thickBot="1" x14ac:dyDescent="0.25">
      <c r="A39" s="488"/>
      <c r="B39" s="465"/>
      <c r="C39" s="111" t="s">
        <v>2</v>
      </c>
      <c r="D39" s="110"/>
      <c r="E39" s="109"/>
      <c r="F39" s="112">
        <f>SUM(F32:F38)</f>
        <v>3372021.0839089933</v>
      </c>
      <c r="G39" s="108">
        <f>SUM(G27:G38)</f>
        <v>0.45194603682670131</v>
      </c>
      <c r="H39" s="488"/>
      <c r="I39" s="465"/>
      <c r="J39" s="111" t="s">
        <v>2</v>
      </c>
      <c r="K39" s="110"/>
      <c r="L39" s="109"/>
      <c r="M39" s="68">
        <f>1744645/460*458</f>
        <v>1737059.5869565217</v>
      </c>
      <c r="N39" s="360">
        <f>SUM(N27:N38)</f>
        <v>0</v>
      </c>
      <c r="O39" s="512"/>
      <c r="P39" s="464"/>
      <c r="Q39" s="252" t="s">
        <v>2</v>
      </c>
      <c r="R39" s="245"/>
      <c r="S39" s="330"/>
      <c r="T39" s="235">
        <f>1744645/460*2</f>
        <v>7585.413043478261</v>
      </c>
      <c r="U39" s="246">
        <f>SUM(U27:U38)</f>
        <v>0</v>
      </c>
      <c r="V39" s="488"/>
      <c r="W39" s="465"/>
      <c r="X39" s="111" t="s">
        <v>2</v>
      </c>
      <c r="Y39" s="110"/>
      <c r="Z39" s="109"/>
      <c r="AA39" s="68">
        <f>1627376.08/SUM($J$2:$L$2)*J2</f>
        <v>1385339.715851272</v>
      </c>
      <c r="AB39" s="108">
        <f>SUM(AB27:AB38)</f>
        <v>0</v>
      </c>
      <c r="AC39" s="488"/>
      <c r="AD39" s="465"/>
      <c r="AE39" s="111" t="s">
        <v>2</v>
      </c>
      <c r="AF39" s="110"/>
      <c r="AG39" s="109"/>
      <c r="AH39" s="68">
        <f>1627376.08/SUM(J2:L2)*K2</f>
        <v>6369.3780039138946</v>
      </c>
      <c r="AI39" s="108">
        <f>SUM(AI27:AI38)</f>
        <v>0</v>
      </c>
      <c r="AJ39" s="488"/>
      <c r="AK39" s="465"/>
      <c r="AL39" s="111" t="s">
        <v>2</v>
      </c>
      <c r="AM39" s="110"/>
      <c r="AN39" s="109"/>
      <c r="AO39" s="68">
        <f>1627376.08/SUM(J2:L2)*L2</f>
        <v>235666.98614481412</v>
      </c>
      <c r="AP39" s="108">
        <f>SUM(AP27:AP38)</f>
        <v>0</v>
      </c>
      <c r="AQ39" s="4">
        <f t="shared" si="0"/>
        <v>0</v>
      </c>
    </row>
    <row r="40" spans="1:43" ht="15" thickBot="1" x14ac:dyDescent="0.25">
      <c r="A40" s="488"/>
      <c r="B40" s="464"/>
      <c r="C40" s="471" t="s">
        <v>68</v>
      </c>
      <c r="D40" s="471"/>
      <c r="E40" s="471"/>
      <c r="F40" s="471"/>
      <c r="G40" s="472"/>
      <c r="H40" s="488"/>
      <c r="I40" s="464"/>
      <c r="J40" s="471" t="s">
        <v>68</v>
      </c>
      <c r="K40" s="471"/>
      <c r="L40" s="471"/>
      <c r="M40" s="471"/>
      <c r="N40" s="471"/>
      <c r="O40" s="512"/>
      <c r="P40" s="464"/>
      <c r="Q40" s="470" t="s">
        <v>68</v>
      </c>
      <c r="R40" s="466"/>
      <c r="S40" s="466"/>
      <c r="T40" s="466"/>
      <c r="U40" s="467"/>
      <c r="V40" s="488"/>
      <c r="W40" s="464"/>
      <c r="X40" s="471" t="s">
        <v>68</v>
      </c>
      <c r="Y40" s="471"/>
      <c r="Z40" s="471"/>
      <c r="AA40" s="471"/>
      <c r="AB40" s="472"/>
      <c r="AC40" s="488"/>
      <c r="AD40" s="464"/>
      <c r="AE40" s="471" t="s">
        <v>68</v>
      </c>
      <c r="AF40" s="471"/>
      <c r="AG40" s="471"/>
      <c r="AH40" s="471"/>
      <c r="AI40" s="472"/>
      <c r="AJ40" s="488"/>
      <c r="AK40" s="464"/>
      <c r="AL40" s="471" t="s">
        <v>68</v>
      </c>
      <c r="AM40" s="471"/>
      <c r="AN40" s="471"/>
      <c r="AO40" s="471"/>
      <c r="AP40" s="472"/>
      <c r="AQ40" s="4">
        <f t="shared" si="0"/>
        <v>0</v>
      </c>
    </row>
    <row r="41" spans="1:43" ht="64.5" thickBot="1" x14ac:dyDescent="0.25">
      <c r="A41" s="488"/>
      <c r="B41" s="464"/>
      <c r="C41" s="105" t="s">
        <v>67</v>
      </c>
      <c r="D41" s="104" t="s">
        <v>57</v>
      </c>
      <c r="E41" s="103">
        <v>21</v>
      </c>
      <c r="F41" s="107">
        <v>43968</v>
      </c>
      <c r="G41" s="101">
        <f>E41/F41</f>
        <v>4.7762008733624452E-4</v>
      </c>
      <c r="H41" s="488"/>
      <c r="I41" s="464"/>
      <c r="J41" s="105" t="s">
        <v>67</v>
      </c>
      <c r="K41" s="104" t="s">
        <v>57</v>
      </c>
      <c r="L41" s="103">
        <f>$G$41*M41-0.1</f>
        <v>10.71791915931815</v>
      </c>
      <c r="M41" s="20">
        <f t="shared" ref="M41:M50" si="12">$M$51/$F$51*F41</f>
        <v>22649.631885566687</v>
      </c>
      <c r="N41" s="363"/>
      <c r="O41" s="512"/>
      <c r="P41" s="464"/>
      <c r="Q41" s="259" t="s">
        <v>67</v>
      </c>
      <c r="R41" s="260" t="s">
        <v>57</v>
      </c>
      <c r="S41" s="261">
        <f>$G$41*T41+0.1</f>
        <v>0.14723982165641114</v>
      </c>
      <c r="T41" s="262">
        <f t="shared" ref="T41:T50" si="13">$T$51/$F$51*F41</f>
        <v>98.906689456623099</v>
      </c>
      <c r="U41" s="240" t="s">
        <v>150</v>
      </c>
      <c r="V41" s="488"/>
      <c r="W41" s="464"/>
      <c r="X41" s="105" t="s">
        <v>67</v>
      </c>
      <c r="Y41" s="104" t="s">
        <v>57</v>
      </c>
      <c r="Z41" s="103">
        <f>$G$41*AA41</f>
        <v>8.6275065426146096</v>
      </c>
      <c r="AA41" s="20">
        <f t="shared" ref="AA41:AA50" si="14">$AA$51/$F$51*F41</f>
        <v>18063.533698365674</v>
      </c>
      <c r="AB41" s="59"/>
      <c r="AC41" s="488"/>
      <c r="AD41" s="464"/>
      <c r="AE41" s="105" t="s">
        <v>67</v>
      </c>
      <c r="AF41" s="104" t="s">
        <v>57</v>
      </c>
      <c r="AG41" s="103">
        <f>$G$41*AH41+0.1</f>
        <v>0.13966669674765339</v>
      </c>
      <c r="AH41" s="20">
        <f t="shared" ref="AH41:AH50" si="15">$AH$51/$F$51*F41</f>
        <v>83.050729647658272</v>
      </c>
      <c r="AI41" s="59"/>
      <c r="AJ41" s="488"/>
      <c r="AK41" s="464"/>
      <c r="AL41" s="105" t="s">
        <v>67</v>
      </c>
      <c r="AM41" s="104" t="s">
        <v>57</v>
      </c>
      <c r="AN41" s="103">
        <f>$G$41*AO41</f>
        <v>1.467667779663175</v>
      </c>
      <c r="AO41" s="20">
        <f t="shared" ref="AO41:AO50" si="16">$AO$51/$F$51*F41</f>
        <v>3072.8769969633563</v>
      </c>
      <c r="AP41" s="59"/>
      <c r="AQ41" s="4">
        <f t="shared" ref="AQ41:AQ72" si="17">E41-L41-S41-Z41-AG41-AN41</f>
        <v>-9.9999999999999201E-2</v>
      </c>
    </row>
    <row r="42" spans="1:43" ht="51.75" thickBot="1" x14ac:dyDescent="0.25">
      <c r="A42" s="488"/>
      <c r="B42" s="464"/>
      <c r="C42" s="76" t="s">
        <v>66</v>
      </c>
      <c r="D42" s="75" t="s">
        <v>65</v>
      </c>
      <c r="E42" s="93">
        <v>30260</v>
      </c>
      <c r="F42" s="77">
        <v>7000</v>
      </c>
      <c r="G42" s="101">
        <f>E42/F42</f>
        <v>4.322857142857143</v>
      </c>
      <c r="H42" s="488"/>
      <c r="I42" s="464"/>
      <c r="J42" s="76" t="s">
        <v>66</v>
      </c>
      <c r="K42" s="75" t="s">
        <v>65</v>
      </c>
      <c r="L42" s="72">
        <f>$G$42*M42</f>
        <v>15588.10636956987</v>
      </c>
      <c r="M42" s="20">
        <f t="shared" si="12"/>
        <v>3605.9730531060504</v>
      </c>
      <c r="N42" s="361"/>
      <c r="O42" s="512"/>
      <c r="P42" s="464"/>
      <c r="Q42" s="76" t="s">
        <v>66</v>
      </c>
      <c r="R42" s="75" t="s">
        <v>65</v>
      </c>
      <c r="S42" s="72">
        <f>$G$42*T42</f>
        <v>68.070333491571489</v>
      </c>
      <c r="T42" s="20">
        <f t="shared" si="13"/>
        <v>15.746607218803714</v>
      </c>
      <c r="U42" s="53" t="s">
        <v>150</v>
      </c>
      <c r="V42" s="488"/>
      <c r="W42" s="464"/>
      <c r="X42" s="76" t="s">
        <v>66</v>
      </c>
      <c r="Y42" s="75" t="s">
        <v>65</v>
      </c>
      <c r="Z42" s="72">
        <f>$G$42*AA42</f>
        <v>12431.826094262766</v>
      </c>
      <c r="AA42" s="20">
        <f t="shared" si="14"/>
        <v>2875.8355142048699</v>
      </c>
      <c r="AB42" s="53"/>
      <c r="AC42" s="488"/>
      <c r="AD42" s="464"/>
      <c r="AE42" s="76" t="s">
        <v>66</v>
      </c>
      <c r="AF42" s="75" t="s">
        <v>65</v>
      </c>
      <c r="AG42" s="72">
        <f>$G$42*AH42</f>
        <v>57.157821123047199</v>
      </c>
      <c r="AH42" s="20">
        <f t="shared" si="15"/>
        <v>13.222232249217791</v>
      </c>
      <c r="AI42" s="53"/>
      <c r="AJ42" s="488"/>
      <c r="AK42" s="464"/>
      <c r="AL42" s="76" t="s">
        <v>66</v>
      </c>
      <c r="AM42" s="75" t="s">
        <v>65</v>
      </c>
      <c r="AN42" s="72">
        <f>$G$42*AO42</f>
        <v>2114.8393815527465</v>
      </c>
      <c r="AO42" s="20">
        <f t="shared" si="16"/>
        <v>489.22259322105833</v>
      </c>
      <c r="AP42" s="53"/>
      <c r="AQ42" s="4">
        <f t="shared" si="17"/>
        <v>0</v>
      </c>
    </row>
    <row r="43" spans="1:43" s="95" customFormat="1" ht="63.75" x14ac:dyDescent="0.2">
      <c r="A43" s="488"/>
      <c r="B43" s="464"/>
      <c r="C43" s="99" t="s">
        <v>64</v>
      </c>
      <c r="D43" s="98" t="s">
        <v>63</v>
      </c>
      <c r="E43" s="93">
        <v>82355.5</v>
      </c>
      <c r="F43" s="102">
        <v>65000</v>
      </c>
      <c r="G43" s="101">
        <f>E43/F43</f>
        <v>1.2670076923076923</v>
      </c>
      <c r="H43" s="488"/>
      <c r="I43" s="464"/>
      <c r="J43" s="99" t="s">
        <v>64</v>
      </c>
      <c r="K43" s="98" t="s">
        <v>63</v>
      </c>
      <c r="L43" s="72">
        <f>$G$43*M43</f>
        <v>42424.530539296473</v>
      </c>
      <c r="M43" s="97">
        <f t="shared" si="12"/>
        <v>33484.035493127609</v>
      </c>
      <c r="N43" s="364"/>
      <c r="O43" s="512"/>
      <c r="P43" s="464"/>
      <c r="Q43" s="99" t="s">
        <v>64</v>
      </c>
      <c r="R43" s="98" t="s">
        <v>63</v>
      </c>
      <c r="S43" s="72">
        <f>$G$43*T43</f>
        <v>185.2599586868842</v>
      </c>
      <c r="T43" s="97">
        <f t="shared" si="13"/>
        <v>146.21849560317736</v>
      </c>
      <c r="U43" s="96" t="s">
        <v>150</v>
      </c>
      <c r="V43" s="488"/>
      <c r="W43" s="464"/>
      <c r="X43" s="99" t="s">
        <v>64</v>
      </c>
      <c r="Y43" s="98" t="s">
        <v>63</v>
      </c>
      <c r="Z43" s="72">
        <f>$G$43*AA43</f>
        <v>33834.41024144274</v>
      </c>
      <c r="AA43" s="97">
        <f t="shared" si="14"/>
        <v>26704.186917616651</v>
      </c>
      <c r="AB43" s="96"/>
      <c r="AC43" s="488"/>
      <c r="AD43" s="464"/>
      <c r="AE43" s="99" t="s">
        <v>64</v>
      </c>
      <c r="AF43" s="98" t="s">
        <v>63</v>
      </c>
      <c r="AG43" s="72">
        <f>$G$43*AH43</f>
        <v>155.56050685720797</v>
      </c>
      <c r="AH43" s="97">
        <f t="shared" si="15"/>
        <v>122.77787088559379</v>
      </c>
      <c r="AI43" s="96"/>
      <c r="AJ43" s="488"/>
      <c r="AK43" s="464"/>
      <c r="AL43" s="99" t="s">
        <v>64</v>
      </c>
      <c r="AM43" s="98" t="s">
        <v>63</v>
      </c>
      <c r="AN43" s="72">
        <f>$G$43*AO43</f>
        <v>5755.7387537166951</v>
      </c>
      <c r="AO43" s="97">
        <f t="shared" si="16"/>
        <v>4542.7812227669701</v>
      </c>
      <c r="AP43" s="96"/>
      <c r="AQ43" s="4">
        <f t="shared" si="17"/>
        <v>0</v>
      </c>
    </row>
    <row r="44" spans="1:43" ht="25.5" x14ac:dyDescent="0.2">
      <c r="A44" s="488"/>
      <c r="B44" s="464"/>
      <c r="C44" s="76" t="s">
        <v>62</v>
      </c>
      <c r="D44" s="75" t="s">
        <v>61</v>
      </c>
      <c r="E44" s="72">
        <f>146.256+129.888</f>
        <v>276.14400000000001</v>
      </c>
      <c r="F44" s="77">
        <f>109868.36+123713.56</f>
        <v>233581.91999999998</v>
      </c>
      <c r="G44" s="92">
        <f>E44/F44</f>
        <v>1.1822147878568685E-3</v>
      </c>
      <c r="H44" s="488"/>
      <c r="I44" s="464"/>
      <c r="J44" s="76" t="s">
        <v>62</v>
      </c>
      <c r="K44" s="75" t="s">
        <v>61</v>
      </c>
      <c r="L44" s="72">
        <f>$G$44*M44</f>
        <v>142.25254611098816</v>
      </c>
      <c r="M44" s="20">
        <f t="shared" si="12"/>
        <v>120327.15845896759</v>
      </c>
      <c r="N44" s="361"/>
      <c r="O44" s="512"/>
      <c r="P44" s="464"/>
      <c r="Q44" s="76" t="s">
        <v>62</v>
      </c>
      <c r="R44" s="75" t="s">
        <v>61</v>
      </c>
      <c r="S44" s="72">
        <f>$G$44*T44</f>
        <v>0.62119015768990482</v>
      </c>
      <c r="T44" s="20">
        <f t="shared" si="13"/>
        <v>525.44610680771882</v>
      </c>
      <c r="U44" s="53" t="s">
        <v>150</v>
      </c>
      <c r="V44" s="488"/>
      <c r="W44" s="464"/>
      <c r="X44" s="76" t="s">
        <v>62</v>
      </c>
      <c r="Y44" s="75" t="s">
        <v>61</v>
      </c>
      <c r="Z44" s="72">
        <f>$G$44*AA44</f>
        <v>113.44924603351281</v>
      </c>
      <c r="AA44" s="20">
        <f t="shared" si="14"/>
        <v>95963.311573165818</v>
      </c>
      <c r="AB44" s="53"/>
      <c r="AC44" s="488"/>
      <c r="AD44" s="464"/>
      <c r="AE44" s="76" t="s">
        <v>62</v>
      </c>
      <c r="AF44" s="75" t="s">
        <v>61</v>
      </c>
      <c r="AG44" s="72">
        <f>$G$44*AH44</f>
        <v>0.52160572888971402</v>
      </c>
      <c r="AH44" s="20">
        <f t="shared" si="15"/>
        <v>441.21062792260142</v>
      </c>
      <c r="AI44" s="53"/>
      <c r="AJ44" s="488"/>
      <c r="AK44" s="464"/>
      <c r="AL44" s="76" t="s">
        <v>62</v>
      </c>
      <c r="AM44" s="75" t="s">
        <v>61</v>
      </c>
      <c r="AN44" s="72">
        <f>$G$44*AO44</f>
        <v>19.299411968919422</v>
      </c>
      <c r="AO44" s="20">
        <f t="shared" si="16"/>
        <v>16324.793233136255</v>
      </c>
      <c r="AP44" s="53"/>
      <c r="AQ44" s="4">
        <f t="shared" si="17"/>
        <v>0</v>
      </c>
    </row>
    <row r="45" spans="1:43" x14ac:dyDescent="0.2">
      <c r="A45" s="488"/>
      <c r="B45" s="464"/>
      <c r="C45" s="76" t="s">
        <v>60</v>
      </c>
      <c r="D45" s="75" t="s">
        <v>59</v>
      </c>
      <c r="E45" s="72"/>
      <c r="F45" s="77">
        <f>13663.3+19504.1</f>
        <v>33167.399999999994</v>
      </c>
      <c r="G45" s="92"/>
      <c r="H45" s="488"/>
      <c r="I45" s="464"/>
      <c r="J45" s="76" t="s">
        <v>60</v>
      </c>
      <c r="K45" s="75" t="s">
        <v>59</v>
      </c>
      <c r="L45" s="72"/>
      <c r="M45" s="20">
        <f t="shared" si="12"/>
        <v>17085.821520227084</v>
      </c>
      <c r="N45" s="361"/>
      <c r="O45" s="512"/>
      <c r="P45" s="464"/>
      <c r="Q45" s="76" t="s">
        <v>60</v>
      </c>
      <c r="R45" s="75" t="s">
        <v>59</v>
      </c>
      <c r="S45" s="72"/>
      <c r="T45" s="20">
        <f t="shared" si="13"/>
        <v>74.61057432413574</v>
      </c>
      <c r="U45" s="53" t="s">
        <v>150</v>
      </c>
      <c r="V45" s="488"/>
      <c r="W45" s="464"/>
      <c r="X45" s="76" t="s">
        <v>60</v>
      </c>
      <c r="Y45" s="75" t="s">
        <v>59</v>
      </c>
      <c r="Z45" s="72"/>
      <c r="AA45" s="20">
        <f t="shared" si="14"/>
        <v>13626.283833405512</v>
      </c>
      <c r="AB45" s="53"/>
      <c r="AC45" s="488"/>
      <c r="AD45" s="464"/>
      <c r="AE45" s="76" t="s">
        <v>60</v>
      </c>
      <c r="AF45" s="75" t="s">
        <v>59</v>
      </c>
      <c r="AG45" s="72"/>
      <c r="AH45" s="20">
        <f t="shared" si="15"/>
        <v>62.649580843243726</v>
      </c>
      <c r="AI45" s="53"/>
      <c r="AJ45" s="488"/>
      <c r="AK45" s="464"/>
      <c r="AL45" s="76" t="s">
        <v>60</v>
      </c>
      <c r="AM45" s="75" t="s">
        <v>59</v>
      </c>
      <c r="AN45" s="72"/>
      <c r="AO45" s="20">
        <f t="shared" si="16"/>
        <v>2318.0344912000182</v>
      </c>
      <c r="AP45" s="53"/>
      <c r="AQ45" s="4">
        <f t="shared" si="17"/>
        <v>0</v>
      </c>
    </row>
    <row r="46" spans="1:43" ht="51" x14ac:dyDescent="0.2">
      <c r="A46" s="488"/>
      <c r="B46" s="464"/>
      <c r="C46" s="76" t="s">
        <v>58</v>
      </c>
      <c r="D46" s="75" t="s">
        <v>57</v>
      </c>
      <c r="E46" s="72">
        <v>22</v>
      </c>
      <c r="F46" s="77">
        <v>150144</v>
      </c>
      <c r="G46" s="92">
        <f>E46/F46</f>
        <v>1.4652600170502985E-4</v>
      </c>
      <c r="H46" s="488"/>
      <c r="I46" s="464"/>
      <c r="J46" s="76" t="s">
        <v>58</v>
      </c>
      <c r="K46" s="75" t="s">
        <v>57</v>
      </c>
      <c r="L46" s="72">
        <f>$G$46*M46-0.1</f>
        <v>11.23305816690473</v>
      </c>
      <c r="M46" s="20">
        <f t="shared" si="12"/>
        <v>77345.031155079254</v>
      </c>
      <c r="N46" s="361"/>
      <c r="O46" s="512"/>
      <c r="P46" s="464"/>
      <c r="Q46" s="76" t="s">
        <v>58</v>
      </c>
      <c r="R46" s="75" t="s">
        <v>57</v>
      </c>
      <c r="S46" s="72">
        <f>$G$46*T46+0.1</f>
        <v>0.14948933697338312</v>
      </c>
      <c r="T46" s="20">
        <f t="shared" si="13"/>
        <v>337.75122775143785</v>
      </c>
      <c r="U46" s="53" t="s">
        <v>150</v>
      </c>
      <c r="V46" s="488"/>
      <c r="W46" s="464"/>
      <c r="X46" s="76" t="s">
        <v>58</v>
      </c>
      <c r="Y46" s="75" t="s">
        <v>57</v>
      </c>
      <c r="Z46" s="72">
        <f>$G$46*AA46-0.1</f>
        <v>8.9383401875010211</v>
      </c>
      <c r="AA46" s="20">
        <f t="shared" si="14"/>
        <v>61684.206777825144</v>
      </c>
      <c r="AB46" s="53"/>
      <c r="AC46" s="488"/>
      <c r="AD46" s="464"/>
      <c r="AE46" s="76" t="s">
        <v>58</v>
      </c>
      <c r="AF46" s="75" t="s">
        <v>57</v>
      </c>
      <c r="AG46" s="72">
        <f>$G$46*AH46+0.1</f>
        <v>0.1415555870689702</v>
      </c>
      <c r="AH46" s="20">
        <f t="shared" si="15"/>
        <v>283.6055484037937</v>
      </c>
      <c r="AI46" s="53"/>
      <c r="AJ46" s="488"/>
      <c r="AK46" s="464"/>
      <c r="AL46" s="76" t="s">
        <v>58</v>
      </c>
      <c r="AM46" s="75" t="s">
        <v>57</v>
      </c>
      <c r="AN46" s="72">
        <f>$G$46*AO46</f>
        <v>1.5375567215518977</v>
      </c>
      <c r="AO46" s="20">
        <f t="shared" si="16"/>
        <v>10493.405290940369</v>
      </c>
      <c r="AP46" s="53"/>
      <c r="AQ46" s="4">
        <f t="shared" si="17"/>
        <v>-2.2204460492503131E-15</v>
      </c>
    </row>
    <row r="47" spans="1:43" ht="25.5" x14ac:dyDescent="0.2">
      <c r="A47" s="488"/>
      <c r="B47" s="464"/>
      <c r="C47" s="76" t="s">
        <v>56</v>
      </c>
      <c r="D47" s="75" t="s">
        <v>12</v>
      </c>
      <c r="E47" s="72">
        <v>1</v>
      </c>
      <c r="F47" s="77">
        <v>40000</v>
      </c>
      <c r="G47" s="92">
        <f>E47/F47</f>
        <v>2.5000000000000001E-5</v>
      </c>
      <c r="H47" s="488"/>
      <c r="I47" s="464"/>
      <c r="J47" s="76" t="s">
        <v>56</v>
      </c>
      <c r="K47" s="75" t="s">
        <v>12</v>
      </c>
      <c r="L47" s="72">
        <f>$G$47*M47-0.1</f>
        <v>0.41513900758657873</v>
      </c>
      <c r="M47" s="20">
        <f t="shared" si="12"/>
        <v>20605.560303463146</v>
      </c>
      <c r="N47" s="361"/>
      <c r="O47" s="512"/>
      <c r="P47" s="464"/>
      <c r="Q47" s="76" t="s">
        <v>56</v>
      </c>
      <c r="R47" s="75" t="s">
        <v>12</v>
      </c>
      <c r="S47" s="72">
        <f>$G$47*T47+0.1</f>
        <v>0.10224951531697196</v>
      </c>
      <c r="T47" s="20">
        <f t="shared" si="13"/>
        <v>89.980612678878373</v>
      </c>
      <c r="U47" s="53" t="s">
        <v>150</v>
      </c>
      <c r="V47" s="488"/>
      <c r="W47" s="464"/>
      <c r="X47" s="76" t="s">
        <v>56</v>
      </c>
      <c r="Y47" s="75" t="s">
        <v>12</v>
      </c>
      <c r="Z47" s="72">
        <f>$G$47*AA47-0.1</f>
        <v>0.31083364488640997</v>
      </c>
      <c r="AA47" s="20">
        <f t="shared" si="14"/>
        <v>16433.3457954564</v>
      </c>
      <c r="AB47" s="53"/>
      <c r="AC47" s="488"/>
      <c r="AD47" s="464"/>
      <c r="AE47" s="76" t="s">
        <v>56</v>
      </c>
      <c r="AF47" s="75" t="s">
        <v>12</v>
      </c>
      <c r="AG47" s="72">
        <f>$G$47*AH47+0.1</f>
        <v>0.10188889032131683</v>
      </c>
      <c r="AH47" s="20">
        <f t="shared" si="15"/>
        <v>75.555612852673093</v>
      </c>
      <c r="AI47" s="53"/>
      <c r="AJ47" s="488"/>
      <c r="AK47" s="464"/>
      <c r="AL47" s="76" t="s">
        <v>56</v>
      </c>
      <c r="AM47" s="75" t="s">
        <v>12</v>
      </c>
      <c r="AN47" s="72">
        <f>$G$47*AO47</f>
        <v>6.9888941888722619E-2</v>
      </c>
      <c r="AO47" s="20">
        <f t="shared" si="16"/>
        <v>2795.5576755489046</v>
      </c>
      <c r="AP47" s="53"/>
      <c r="AQ47" s="4">
        <f t="shared" si="17"/>
        <v>-1.1102230246251565E-16</v>
      </c>
    </row>
    <row r="48" spans="1:43" x14ac:dyDescent="0.2">
      <c r="A48" s="488"/>
      <c r="B48" s="464"/>
      <c r="C48" s="76"/>
      <c r="D48" s="75"/>
      <c r="E48" s="72"/>
      <c r="F48" s="77"/>
      <c r="G48" s="92"/>
      <c r="H48" s="488"/>
      <c r="I48" s="464"/>
      <c r="J48" s="76"/>
      <c r="K48" s="75"/>
      <c r="L48" s="94"/>
      <c r="M48" s="20">
        <f t="shared" si="12"/>
        <v>0</v>
      </c>
      <c r="N48" s="361"/>
      <c r="O48" s="512"/>
      <c r="P48" s="464"/>
      <c r="Q48" s="76"/>
      <c r="R48" s="75"/>
      <c r="S48" s="72"/>
      <c r="T48" s="20">
        <f t="shared" si="13"/>
        <v>0</v>
      </c>
      <c r="U48" s="53" t="s">
        <v>150</v>
      </c>
      <c r="V48" s="488"/>
      <c r="W48" s="464"/>
      <c r="X48" s="76"/>
      <c r="Y48" s="75"/>
      <c r="Z48" s="72"/>
      <c r="AA48" s="20">
        <f t="shared" si="14"/>
        <v>0</v>
      </c>
      <c r="AB48" s="53"/>
      <c r="AC48" s="488"/>
      <c r="AD48" s="464"/>
      <c r="AE48" s="76"/>
      <c r="AF48" s="75"/>
      <c r="AG48" s="72"/>
      <c r="AH48" s="20">
        <f t="shared" si="15"/>
        <v>0</v>
      </c>
      <c r="AI48" s="53"/>
      <c r="AJ48" s="488"/>
      <c r="AK48" s="464"/>
      <c r="AL48" s="76"/>
      <c r="AM48" s="75"/>
      <c r="AN48" s="72"/>
      <c r="AO48" s="20">
        <f t="shared" si="16"/>
        <v>0</v>
      </c>
      <c r="AP48" s="53"/>
      <c r="AQ48" s="4">
        <f t="shared" si="17"/>
        <v>0</v>
      </c>
    </row>
    <row r="49" spans="1:43" ht="102" x14ac:dyDescent="0.2">
      <c r="A49" s="488"/>
      <c r="B49" s="464"/>
      <c r="C49" s="76" t="s">
        <v>55</v>
      </c>
      <c r="D49" s="75" t="s">
        <v>8</v>
      </c>
      <c r="E49" s="93">
        <f>3393+3637.5</f>
        <v>7030.5</v>
      </c>
      <c r="F49" s="77">
        <f>60000+36000</f>
        <v>96000</v>
      </c>
      <c r="G49" s="92">
        <f>E49/F49</f>
        <v>7.3234375000000004E-2</v>
      </c>
      <c r="H49" s="488"/>
      <c r="I49" s="464"/>
      <c r="J49" s="76" t="s">
        <v>55</v>
      </c>
      <c r="K49" s="75" t="s">
        <v>8</v>
      </c>
      <c r="L49" s="72">
        <f>$G$49*M49</f>
        <v>3621.6847928374409</v>
      </c>
      <c r="M49" s="20">
        <f t="shared" si="12"/>
        <v>49453.344728311546</v>
      </c>
      <c r="N49" s="361"/>
      <c r="O49" s="512"/>
      <c r="P49" s="464"/>
      <c r="Q49" s="76" t="s">
        <v>55</v>
      </c>
      <c r="R49" s="75" t="s">
        <v>8</v>
      </c>
      <c r="S49" s="72">
        <f>$G$49*T49</f>
        <v>15.815217435971361</v>
      </c>
      <c r="T49" s="20">
        <f t="shared" si="13"/>
        <v>215.95347042930808</v>
      </c>
      <c r="U49" s="53" t="s">
        <v>150</v>
      </c>
      <c r="V49" s="488"/>
      <c r="W49" s="464"/>
      <c r="X49" s="76" t="s">
        <v>55</v>
      </c>
      <c r="Y49" s="75" t="s">
        <v>8</v>
      </c>
      <c r="Z49" s="90">
        <f>$G$49*AA49</f>
        <v>2888.3659403739057</v>
      </c>
      <c r="AA49" s="20">
        <f t="shared" si="14"/>
        <v>39440.029909095363</v>
      </c>
      <c r="AB49" s="53"/>
      <c r="AC49" s="488"/>
      <c r="AD49" s="464"/>
      <c r="AE49" s="76" t="s">
        <v>55</v>
      </c>
      <c r="AF49" s="75" t="s">
        <v>8</v>
      </c>
      <c r="AG49" s="72">
        <f>$G$49*AH49</f>
        <v>13.279843404017955</v>
      </c>
      <c r="AH49" s="20">
        <f t="shared" si="15"/>
        <v>181.33347084641542</v>
      </c>
      <c r="AI49" s="53"/>
      <c r="AJ49" s="488"/>
      <c r="AK49" s="464"/>
      <c r="AL49" s="76" t="s">
        <v>55</v>
      </c>
      <c r="AM49" s="75" t="s">
        <v>8</v>
      </c>
      <c r="AN49" s="72">
        <f>$G$49*AO49</f>
        <v>491.3542059486644</v>
      </c>
      <c r="AO49" s="20">
        <f t="shared" si="16"/>
        <v>6709.3384213173713</v>
      </c>
      <c r="AP49" s="53"/>
      <c r="AQ49" s="4">
        <f t="shared" si="17"/>
        <v>0</v>
      </c>
    </row>
    <row r="50" spans="1:43" ht="243" thickBot="1" x14ac:dyDescent="0.25">
      <c r="A50" s="488"/>
      <c r="B50" s="464"/>
      <c r="C50" s="86" t="s">
        <v>54</v>
      </c>
      <c r="D50" s="85" t="s">
        <v>40</v>
      </c>
      <c r="E50" s="84">
        <f>161+231+65+18+21+5</f>
        <v>501</v>
      </c>
      <c r="F50" s="89">
        <f>71472+31915.8+4422.32+6170.39+18774+45892+30000</f>
        <v>208646.51</v>
      </c>
      <c r="G50" s="88">
        <f>E50/F50</f>
        <v>2.4011904153105651E-3</v>
      </c>
      <c r="H50" s="488"/>
      <c r="I50" s="464"/>
      <c r="J50" s="86" t="s">
        <v>54</v>
      </c>
      <c r="K50" s="85" t="s">
        <v>40</v>
      </c>
      <c r="L50" s="84">
        <f>$G$50*M50</f>
        <v>258.08464280087588</v>
      </c>
      <c r="M50" s="20">
        <f t="shared" si="12"/>
        <v>107481.95609780315</v>
      </c>
      <c r="N50" s="365"/>
      <c r="O50" s="512"/>
      <c r="P50" s="464"/>
      <c r="Q50" s="86" t="s">
        <v>54</v>
      </c>
      <c r="R50" s="85" t="s">
        <v>40</v>
      </c>
      <c r="S50" s="84">
        <f>$G$50*T50</f>
        <v>1.1270071738029517</v>
      </c>
      <c r="T50" s="20">
        <f t="shared" si="13"/>
        <v>469.3535200777431</v>
      </c>
      <c r="U50" s="83" t="s">
        <v>150</v>
      </c>
      <c r="V50" s="488"/>
      <c r="W50" s="464"/>
      <c r="X50" s="86" t="s">
        <v>54</v>
      </c>
      <c r="Y50" s="85" t="s">
        <v>40</v>
      </c>
      <c r="Z50" s="84">
        <f>$G$50*AA50</f>
        <v>205.82765608809143</v>
      </c>
      <c r="AA50" s="20">
        <f t="shared" si="14"/>
        <v>85719.006196128801</v>
      </c>
      <c r="AB50" s="83"/>
      <c r="AC50" s="488"/>
      <c r="AD50" s="464"/>
      <c r="AE50" s="86" t="s">
        <v>54</v>
      </c>
      <c r="AF50" s="85" t="s">
        <v>40</v>
      </c>
      <c r="AG50" s="84">
        <f>$G$50*AH50</f>
        <v>0.94633405097973056</v>
      </c>
      <c r="AH50" s="20">
        <f t="shared" si="15"/>
        <v>394.11037331553467</v>
      </c>
      <c r="AI50" s="83"/>
      <c r="AJ50" s="488"/>
      <c r="AK50" s="464"/>
      <c r="AL50" s="86" t="s">
        <v>54</v>
      </c>
      <c r="AM50" s="85" t="s">
        <v>40</v>
      </c>
      <c r="AN50" s="84">
        <f>$G$50*AO50</f>
        <v>35.014359886250034</v>
      </c>
      <c r="AO50" s="20">
        <f t="shared" si="16"/>
        <v>14582.083812674784</v>
      </c>
      <c r="AP50" s="83"/>
      <c r="AQ50" s="4">
        <f t="shared" si="17"/>
        <v>0</v>
      </c>
    </row>
    <row r="51" spans="1:43" ht="15" hidden="1" customHeight="1" thickBot="1" x14ac:dyDescent="0.25">
      <c r="A51" s="488"/>
      <c r="B51" s="465"/>
      <c r="C51" s="81" t="s">
        <v>2</v>
      </c>
      <c r="D51" s="80"/>
      <c r="E51" s="79"/>
      <c r="F51" s="82">
        <f>SUM(F41:F50)</f>
        <v>877507.83</v>
      </c>
      <c r="G51" s="78">
        <f>SUM(G41:G50)</f>
        <v>5.6673317614570449</v>
      </c>
      <c r="H51" s="488"/>
      <c r="I51" s="465"/>
      <c r="J51" s="81" t="s">
        <v>2</v>
      </c>
      <c r="K51" s="80"/>
      <c r="L51" s="79"/>
      <c r="M51" s="68">
        <f>454012.48/460*458</f>
        <v>452038.51269565214</v>
      </c>
      <c r="N51" s="366">
        <f>SUM(N41:N50)</f>
        <v>0</v>
      </c>
      <c r="O51" s="512"/>
      <c r="P51" s="464"/>
      <c r="Q51" s="231" t="s">
        <v>2</v>
      </c>
      <c r="R51" s="80"/>
      <c r="S51" s="329"/>
      <c r="T51" s="195">
        <f>454012.48/460*2</f>
        <v>1973.967304347826</v>
      </c>
      <c r="U51" s="78">
        <f>SUM(U41:U50)</f>
        <v>0</v>
      </c>
      <c r="V51" s="488"/>
      <c r="W51" s="465"/>
      <c r="X51" s="81" t="s">
        <v>2</v>
      </c>
      <c r="Y51" s="80"/>
      <c r="Z51" s="79"/>
      <c r="AA51" s="51">
        <f>423495.35/SUM($J$2:$L$2)*J2</f>
        <v>360509.7402152642</v>
      </c>
      <c r="AB51" s="78">
        <f>SUM(AB41:AB50)</f>
        <v>0</v>
      </c>
      <c r="AC51" s="488"/>
      <c r="AD51" s="465"/>
      <c r="AE51" s="81" t="s">
        <v>2</v>
      </c>
      <c r="AF51" s="80"/>
      <c r="AG51" s="79"/>
      <c r="AH51" s="68">
        <f>423495.35/SUM($J$2:$L$2)*K2</f>
        <v>1657.5160469667319</v>
      </c>
      <c r="AI51" s="78">
        <f>SUM(AI41:AI50)</f>
        <v>0</v>
      </c>
      <c r="AJ51" s="488"/>
      <c r="AK51" s="465"/>
      <c r="AL51" s="81" t="s">
        <v>2</v>
      </c>
      <c r="AM51" s="80"/>
      <c r="AN51" s="79"/>
      <c r="AO51" s="68">
        <f>423495.35/SUM($J$2:$L$2)*L2</f>
        <v>61328.093737769079</v>
      </c>
      <c r="AP51" s="78">
        <f>SUM(AP41:AP50)</f>
        <v>0</v>
      </c>
      <c r="AQ51" s="4">
        <f t="shared" si="17"/>
        <v>0</v>
      </c>
    </row>
    <row r="52" spans="1:43" s="95" customFormat="1" ht="15" thickBot="1" x14ac:dyDescent="0.25">
      <c r="A52" s="488"/>
      <c r="B52" s="465"/>
      <c r="C52" s="508" t="s">
        <v>53</v>
      </c>
      <c r="D52" s="483"/>
      <c r="E52" s="483"/>
      <c r="F52" s="483"/>
      <c r="G52" s="485"/>
      <c r="H52" s="488"/>
      <c r="I52" s="465"/>
      <c r="J52" s="508" t="s">
        <v>53</v>
      </c>
      <c r="K52" s="483"/>
      <c r="L52" s="483"/>
      <c r="M52" s="484"/>
      <c r="N52" s="509"/>
      <c r="O52" s="512"/>
      <c r="P52" s="464"/>
      <c r="Q52" s="482" t="s">
        <v>53</v>
      </c>
      <c r="R52" s="483"/>
      <c r="S52" s="483"/>
      <c r="T52" s="510"/>
      <c r="U52" s="485"/>
      <c r="V52" s="488"/>
      <c r="W52" s="465"/>
      <c r="X52" s="508" t="s">
        <v>53</v>
      </c>
      <c r="Y52" s="483"/>
      <c r="Z52" s="483"/>
      <c r="AA52" s="510"/>
      <c r="AB52" s="485"/>
      <c r="AC52" s="488"/>
      <c r="AD52" s="465"/>
      <c r="AE52" s="508" t="s">
        <v>53</v>
      </c>
      <c r="AF52" s="483"/>
      <c r="AG52" s="483"/>
      <c r="AH52" s="484"/>
      <c r="AI52" s="485"/>
      <c r="AJ52" s="488"/>
      <c r="AK52" s="465"/>
      <c r="AL52" s="508" t="s">
        <v>53</v>
      </c>
      <c r="AM52" s="483"/>
      <c r="AN52" s="483"/>
      <c r="AO52" s="484"/>
      <c r="AP52" s="485"/>
      <c r="AQ52" s="216">
        <f t="shared" si="17"/>
        <v>0</v>
      </c>
    </row>
    <row r="53" spans="1:43" ht="76.5" x14ac:dyDescent="0.2">
      <c r="A53" s="488"/>
      <c r="B53" s="464"/>
      <c r="C53" s="76" t="s">
        <v>52</v>
      </c>
      <c r="D53" s="75" t="s">
        <v>8</v>
      </c>
      <c r="E53" s="30">
        <f>3393+3637.5</f>
        <v>7030.5</v>
      </c>
      <c r="F53" s="77">
        <f>93870+17000+51000+10000</f>
        <v>171870</v>
      </c>
      <c r="G53" s="53">
        <f>E53/F53</f>
        <v>4.0905917263047653E-2</v>
      </c>
      <c r="H53" s="488"/>
      <c r="I53" s="464"/>
      <c r="J53" s="76" t="s">
        <v>52</v>
      </c>
      <c r="K53" s="75" t="s">
        <v>8</v>
      </c>
      <c r="L53" s="72">
        <f>$G$53*M53</f>
        <v>3316.1369721936153</v>
      </c>
      <c r="M53" s="20">
        <f>$M$56/$F$56*F53</f>
        <v>81067.41503604532</v>
      </c>
      <c r="N53" s="77"/>
      <c r="O53" s="512"/>
      <c r="P53" s="464"/>
      <c r="Q53" s="76" t="s">
        <v>52</v>
      </c>
      <c r="R53" s="75" t="s">
        <v>8</v>
      </c>
      <c r="S53" s="58">
        <f>$G$53*T53</f>
        <v>14.480947476828014</v>
      </c>
      <c r="T53" s="20">
        <f>$T$56/$F$56*F53</f>
        <v>354.00617919670447</v>
      </c>
      <c r="U53" s="53"/>
      <c r="V53" s="488"/>
      <c r="W53" s="464"/>
      <c r="X53" s="76" t="s">
        <v>52</v>
      </c>
      <c r="Y53" s="75" t="s">
        <v>8</v>
      </c>
      <c r="Z53" s="72">
        <f>$G$53*AA53</f>
        <v>3149.6060762100929</v>
      </c>
      <c r="AA53" s="20">
        <f>$AA$56/$F$56*F53</f>
        <v>76996.34397528322</v>
      </c>
      <c r="AB53" s="53"/>
      <c r="AC53" s="488"/>
      <c r="AD53" s="464"/>
      <c r="AE53" s="76" t="s">
        <v>52</v>
      </c>
      <c r="AF53" s="75" t="s">
        <v>8</v>
      </c>
      <c r="AG53" s="72">
        <f>$G$53*AH53</f>
        <v>14.480947476828014</v>
      </c>
      <c r="AH53" s="20">
        <f>$AH$56/$F$56*F53</f>
        <v>354.00617919670447</v>
      </c>
      <c r="AI53" s="53"/>
      <c r="AJ53" s="488"/>
      <c r="AK53" s="464"/>
      <c r="AL53" s="76" t="s">
        <v>52</v>
      </c>
      <c r="AM53" s="75" t="s">
        <v>8</v>
      </c>
      <c r="AN53" s="72">
        <f>$G$53*AO53</f>
        <v>535.79505664263661</v>
      </c>
      <c r="AO53" s="20">
        <f>$AO$56/$F$56*F53</f>
        <v>13098.228630278067</v>
      </c>
      <c r="AP53" s="53"/>
      <c r="AQ53" s="4">
        <f t="shared" si="17"/>
        <v>0</v>
      </c>
    </row>
    <row r="54" spans="1:43" x14ac:dyDescent="0.2">
      <c r="A54" s="488"/>
      <c r="B54" s="464"/>
      <c r="C54" s="76" t="s">
        <v>51</v>
      </c>
      <c r="D54" s="75" t="s">
        <v>12</v>
      </c>
      <c r="E54" s="30">
        <v>1</v>
      </c>
      <c r="F54" s="77">
        <v>20000</v>
      </c>
      <c r="G54" s="53">
        <f>E54/F54</f>
        <v>5.0000000000000002E-5</v>
      </c>
      <c r="H54" s="488"/>
      <c r="I54" s="464"/>
      <c r="J54" s="76" t="s">
        <v>51</v>
      </c>
      <c r="K54" s="75" t="s">
        <v>12</v>
      </c>
      <c r="L54" s="72">
        <f>$G$54*M54-0.1</f>
        <v>0.37167868177136976</v>
      </c>
      <c r="M54" s="20">
        <f>$M$56/$F$56*F54</f>
        <v>9433.573635427394</v>
      </c>
      <c r="N54" s="77"/>
      <c r="O54" s="512"/>
      <c r="P54" s="464"/>
      <c r="Q54" s="76" t="s">
        <v>51</v>
      </c>
      <c r="R54" s="75" t="s">
        <v>12</v>
      </c>
      <c r="S54" s="58">
        <f>$G$54*T54+0.1</f>
        <v>0.10205973223480948</v>
      </c>
      <c r="T54" s="20">
        <f>$T$56/$F$56*F54</f>
        <v>41.194644696189499</v>
      </c>
      <c r="U54" s="53"/>
      <c r="V54" s="488"/>
      <c r="W54" s="464"/>
      <c r="X54" s="76" t="s">
        <v>51</v>
      </c>
      <c r="Y54" s="75" t="s">
        <v>12</v>
      </c>
      <c r="Z54" s="72">
        <f>$G$54*AA54-0.1</f>
        <v>0.34799176107106078</v>
      </c>
      <c r="AA54" s="20">
        <f>$AA$56/$F$56*F54</f>
        <v>8959.8352214212155</v>
      </c>
      <c r="AB54" s="53"/>
      <c r="AC54" s="488"/>
      <c r="AD54" s="464"/>
      <c r="AE54" s="76" t="s">
        <v>51</v>
      </c>
      <c r="AF54" s="75" t="s">
        <v>12</v>
      </c>
      <c r="AG54" s="72">
        <f>$G$54*AH54+0.1</f>
        <v>0.10205973223480948</v>
      </c>
      <c r="AH54" s="20">
        <f>$AH$56/$F$56*F54</f>
        <v>41.194644696189499</v>
      </c>
      <c r="AI54" s="53"/>
      <c r="AJ54" s="488"/>
      <c r="AK54" s="464"/>
      <c r="AL54" s="76" t="s">
        <v>51</v>
      </c>
      <c r="AM54" s="75" t="s">
        <v>12</v>
      </c>
      <c r="AN54" s="72">
        <f>$G$54*AO54</f>
        <v>7.6210092687950579E-2</v>
      </c>
      <c r="AO54" s="20">
        <f>$AO$56/$F$56*F54</f>
        <v>1524.2018537590116</v>
      </c>
      <c r="AP54" s="53"/>
      <c r="AQ54" s="4">
        <f t="shared" si="17"/>
        <v>0</v>
      </c>
    </row>
    <row r="55" spans="1:43" ht="26.25" thickBot="1" x14ac:dyDescent="0.25">
      <c r="A55" s="488"/>
      <c r="B55" s="464"/>
      <c r="C55" s="73" t="s">
        <v>50</v>
      </c>
      <c r="D55" s="56" t="s">
        <v>12</v>
      </c>
      <c r="E55" s="74">
        <v>1</v>
      </c>
      <c r="F55" s="32">
        <v>60000</v>
      </c>
      <c r="G55" s="53">
        <f>E55/F55</f>
        <v>1.6666666666666667E-5</v>
      </c>
      <c r="H55" s="488"/>
      <c r="I55" s="464"/>
      <c r="J55" s="73" t="s">
        <v>50</v>
      </c>
      <c r="K55" s="56" t="s">
        <v>12</v>
      </c>
      <c r="L55" s="72">
        <f>$G$55*M55-0.1</f>
        <v>0.37167868177136976</v>
      </c>
      <c r="M55" s="20">
        <f>$M$56/$F$56*F55</f>
        <v>28300.720906282186</v>
      </c>
      <c r="N55" s="42"/>
      <c r="O55" s="512"/>
      <c r="P55" s="464"/>
      <c r="Q55" s="73" t="s">
        <v>50</v>
      </c>
      <c r="R55" s="56" t="s">
        <v>12</v>
      </c>
      <c r="S55" s="58">
        <f>$G$55*T55+0.1</f>
        <v>0.10205973223480948</v>
      </c>
      <c r="T55" s="20">
        <f>$T$56/$F$56*F55</f>
        <v>123.58393408856851</v>
      </c>
      <c r="U55" s="71"/>
      <c r="V55" s="488"/>
      <c r="W55" s="464"/>
      <c r="X55" s="73" t="s">
        <v>50</v>
      </c>
      <c r="Y55" s="56" t="s">
        <v>12</v>
      </c>
      <c r="Z55" s="72">
        <f>$G$55*AA55-0.1</f>
        <v>0.34799176107106078</v>
      </c>
      <c r="AA55" s="20">
        <f>$AA$56/$F$56*F55</f>
        <v>26879.505664263648</v>
      </c>
      <c r="AB55" s="71"/>
      <c r="AC55" s="488"/>
      <c r="AD55" s="464"/>
      <c r="AE55" s="73" t="s">
        <v>50</v>
      </c>
      <c r="AF55" s="56" t="s">
        <v>12</v>
      </c>
      <c r="AG55" s="72">
        <f>$G$55*AH55+0.1</f>
        <v>0.10205973223480948</v>
      </c>
      <c r="AH55" s="20">
        <f>$AH$56/$F$56*F55</f>
        <v>123.58393408856851</v>
      </c>
      <c r="AI55" s="71"/>
      <c r="AJ55" s="488"/>
      <c r="AK55" s="464"/>
      <c r="AL55" s="73" t="s">
        <v>50</v>
      </c>
      <c r="AM55" s="56" t="s">
        <v>12</v>
      </c>
      <c r="AN55" s="72">
        <f>$G$55*AO55</f>
        <v>7.6210092687950592E-2</v>
      </c>
      <c r="AO55" s="20">
        <f>$AO$56/$F$56*F55</f>
        <v>4572.6055612770351</v>
      </c>
      <c r="AP55" s="71"/>
      <c r="AQ55" s="4">
        <f t="shared" si="17"/>
        <v>0</v>
      </c>
    </row>
    <row r="56" spans="1:43" ht="15" hidden="1" customHeight="1" thickBot="1" x14ac:dyDescent="0.25">
      <c r="A56" s="488"/>
      <c r="B56" s="464"/>
      <c r="C56" s="70" t="s">
        <v>2</v>
      </c>
      <c r="D56" s="69"/>
      <c r="E56" s="69"/>
      <c r="F56" s="52">
        <f>SUM(F53:F55)</f>
        <v>251870</v>
      </c>
      <c r="G56" s="67"/>
      <c r="H56" s="488"/>
      <c r="I56" s="464"/>
      <c r="J56" s="70" t="s">
        <v>2</v>
      </c>
      <c r="K56" s="69"/>
      <c r="L56" s="69"/>
      <c r="M56" s="68">
        <f>$F$56/$G$2*H2</f>
        <v>118801.7095777549</v>
      </c>
      <c r="N56" s="367"/>
      <c r="O56" s="512"/>
      <c r="P56" s="464"/>
      <c r="Q56" s="233" t="s">
        <v>2</v>
      </c>
      <c r="R56" s="234"/>
      <c r="S56" s="234"/>
      <c r="T56" s="235">
        <f>$F$56/$G$2*I2</f>
        <v>518.78475798146246</v>
      </c>
      <c r="U56" s="236"/>
      <c r="V56" s="488"/>
      <c r="W56" s="464"/>
      <c r="X56" s="70" t="s">
        <v>2</v>
      </c>
      <c r="Y56" s="69"/>
      <c r="Z56" s="69"/>
      <c r="AA56" s="68">
        <f>$F$56/$G$2*J2</f>
        <v>112835.68486096809</v>
      </c>
      <c r="AB56" s="67"/>
      <c r="AC56" s="488"/>
      <c r="AD56" s="464"/>
      <c r="AE56" s="70" t="s">
        <v>2</v>
      </c>
      <c r="AF56" s="69"/>
      <c r="AG56" s="69"/>
      <c r="AH56" s="68">
        <f>$F$56/$G$2*K2</f>
        <v>518.78475798146246</v>
      </c>
      <c r="AI56" s="67"/>
      <c r="AJ56" s="488"/>
      <c r="AK56" s="464"/>
      <c r="AL56" s="70" t="s">
        <v>2</v>
      </c>
      <c r="AM56" s="69"/>
      <c r="AN56" s="69"/>
      <c r="AO56" s="68">
        <f>$F$56/$G$2*L2</f>
        <v>19195.036045314111</v>
      </c>
      <c r="AP56" s="67"/>
      <c r="AQ56" s="4">
        <f t="shared" si="17"/>
        <v>0</v>
      </c>
    </row>
    <row r="57" spans="1:43" s="95" customFormat="1" ht="15" thickBot="1" x14ac:dyDescent="0.25">
      <c r="A57" s="488"/>
      <c r="B57" s="464"/>
      <c r="C57" s="506" t="s">
        <v>49</v>
      </c>
      <c r="D57" s="506"/>
      <c r="E57" s="506"/>
      <c r="F57" s="506"/>
      <c r="G57" s="507"/>
      <c r="H57" s="488"/>
      <c r="I57" s="464"/>
      <c r="J57" s="506" t="s">
        <v>49</v>
      </c>
      <c r="K57" s="506"/>
      <c r="L57" s="506"/>
      <c r="M57" s="506"/>
      <c r="N57" s="506"/>
      <c r="O57" s="512"/>
      <c r="P57" s="464"/>
      <c r="Q57" s="476" t="s">
        <v>49</v>
      </c>
      <c r="R57" s="477"/>
      <c r="S57" s="477"/>
      <c r="T57" s="477"/>
      <c r="U57" s="478"/>
      <c r="V57" s="488"/>
      <c r="W57" s="464"/>
      <c r="X57" s="506" t="s">
        <v>49</v>
      </c>
      <c r="Y57" s="506"/>
      <c r="Z57" s="506"/>
      <c r="AA57" s="506"/>
      <c r="AB57" s="507"/>
      <c r="AC57" s="488"/>
      <c r="AD57" s="464"/>
      <c r="AE57" s="506" t="s">
        <v>49</v>
      </c>
      <c r="AF57" s="506"/>
      <c r="AG57" s="506"/>
      <c r="AH57" s="506"/>
      <c r="AI57" s="507"/>
      <c r="AJ57" s="488"/>
      <c r="AK57" s="464"/>
      <c r="AL57" s="506" t="s">
        <v>49</v>
      </c>
      <c r="AM57" s="506"/>
      <c r="AN57" s="506"/>
      <c r="AO57" s="506"/>
      <c r="AP57" s="507"/>
      <c r="AQ57" s="216">
        <f t="shared" si="17"/>
        <v>0</v>
      </c>
    </row>
    <row r="58" spans="1:43" ht="26.25" thickBot="1" x14ac:dyDescent="0.25">
      <c r="A58" s="488"/>
      <c r="B58" s="465"/>
      <c r="C58" s="64" t="s">
        <v>48</v>
      </c>
      <c r="D58" s="63" t="s">
        <v>44</v>
      </c>
      <c r="E58" s="66">
        <v>10</v>
      </c>
      <c r="F58" s="65">
        <v>75600</v>
      </c>
      <c r="G58" s="59">
        <f t="shared" ref="G58:G63" si="18">E58/F58</f>
        <v>1.3227513227513228E-4</v>
      </c>
      <c r="H58" s="488"/>
      <c r="I58" s="465"/>
      <c r="J58" s="64" t="s">
        <v>48</v>
      </c>
      <c r="K58" s="63" t="s">
        <v>44</v>
      </c>
      <c r="L58" s="58">
        <f>$G$58*M58-0.1</f>
        <v>4.6167868177136979</v>
      </c>
      <c r="M58" s="54">
        <f t="shared" ref="M58:M63" si="19">$M$64/$F$64*F58</f>
        <v>35658.90834191555</v>
      </c>
      <c r="N58" s="107"/>
      <c r="O58" s="512"/>
      <c r="P58" s="464"/>
      <c r="Q58" s="237" t="s">
        <v>48</v>
      </c>
      <c r="R58" s="238" t="s">
        <v>44</v>
      </c>
      <c r="S58" s="232">
        <f>$G$58*T58+0.1</f>
        <v>0.12059732234809475</v>
      </c>
      <c r="T58" s="239">
        <f t="shared" ref="T58:T63" si="20">$T$64/$F$64*F58</f>
        <v>155.71575695159629</v>
      </c>
      <c r="U58" s="240" t="s">
        <v>150</v>
      </c>
      <c r="V58" s="488"/>
      <c r="W58" s="465"/>
      <c r="X58" s="64" t="s">
        <v>48</v>
      </c>
      <c r="Y58" s="63" t="s">
        <v>44</v>
      </c>
      <c r="Z58" s="55">
        <f>$G$58*AA58-0.1</f>
        <v>4.3799176107106081</v>
      </c>
      <c r="AA58" s="54">
        <f t="shared" ref="AA58:AA63" si="21">$AA$64/$F$64*F58</f>
        <v>33868.17713697219</v>
      </c>
      <c r="AB58" s="59"/>
      <c r="AC58" s="488"/>
      <c r="AD58" s="465"/>
      <c r="AE58" s="64" t="s">
        <v>48</v>
      </c>
      <c r="AF58" s="63" t="s">
        <v>44</v>
      </c>
      <c r="AG58" s="55">
        <f>$G$58*AH58+0.1</f>
        <v>0.12059732234809475</v>
      </c>
      <c r="AH58" s="54">
        <f t="shared" ref="AH58:AH63" si="22">$AH$64/$F$64*F58</f>
        <v>155.71575695159629</v>
      </c>
      <c r="AI58" s="59"/>
      <c r="AJ58" s="488"/>
      <c r="AK58" s="465"/>
      <c r="AL58" s="64" t="s">
        <v>48</v>
      </c>
      <c r="AM58" s="63" t="s">
        <v>44</v>
      </c>
      <c r="AN58" s="55">
        <f>$G$58*AO58</f>
        <v>0.7621009268795057</v>
      </c>
      <c r="AO58" s="54">
        <f t="shared" ref="AO58:AO63" si="23">$AO$64/$F$64*F58</f>
        <v>5761.4830072090626</v>
      </c>
      <c r="AP58" s="59"/>
      <c r="AQ58" s="4">
        <f t="shared" si="17"/>
        <v>-1.4432899320127035E-15</v>
      </c>
    </row>
    <row r="59" spans="1:43" ht="51.75" thickBot="1" x14ac:dyDescent="0.25">
      <c r="A59" s="488"/>
      <c r="B59" s="465"/>
      <c r="C59" s="57" t="s">
        <v>47</v>
      </c>
      <c r="D59" s="56" t="s">
        <v>44</v>
      </c>
      <c r="E59" s="61">
        <v>6</v>
      </c>
      <c r="F59" s="60">
        <v>12744</v>
      </c>
      <c r="G59" s="59">
        <f t="shared" si="18"/>
        <v>4.7080979284369113E-4</v>
      </c>
      <c r="H59" s="488"/>
      <c r="I59" s="465"/>
      <c r="J59" s="57" t="s">
        <v>47</v>
      </c>
      <c r="K59" s="56" t="s">
        <v>44</v>
      </c>
      <c r="L59" s="58">
        <f>$G$59*M59-0.1</f>
        <v>2.7300720906282181</v>
      </c>
      <c r="M59" s="54">
        <f t="shared" si="19"/>
        <v>6011.0731204943359</v>
      </c>
      <c r="N59" s="77"/>
      <c r="O59" s="512"/>
      <c r="P59" s="464"/>
      <c r="Q59" s="73" t="s">
        <v>47</v>
      </c>
      <c r="R59" s="56" t="s">
        <v>44</v>
      </c>
      <c r="S59" s="58">
        <f>$G$59*T59+0.1</f>
        <v>0.11235839340885685</v>
      </c>
      <c r="T59" s="54">
        <f t="shared" si="20"/>
        <v>26.249227600411945</v>
      </c>
      <c r="U59" s="53" t="s">
        <v>150</v>
      </c>
      <c r="V59" s="488"/>
      <c r="W59" s="465"/>
      <c r="X59" s="57" t="s">
        <v>47</v>
      </c>
      <c r="Y59" s="56" t="s">
        <v>44</v>
      </c>
      <c r="Z59" s="55">
        <f>$G$59*AA59-0.1</f>
        <v>2.5879505664263642</v>
      </c>
      <c r="AA59" s="54">
        <f t="shared" si="21"/>
        <v>5709.2070030895984</v>
      </c>
      <c r="AB59" s="53"/>
      <c r="AC59" s="488"/>
      <c r="AD59" s="465"/>
      <c r="AE59" s="57" t="s">
        <v>47</v>
      </c>
      <c r="AF59" s="56" t="s">
        <v>44</v>
      </c>
      <c r="AG59" s="55">
        <f>$G$59*AH59+0.1</f>
        <v>0.11235839340885685</v>
      </c>
      <c r="AH59" s="54">
        <f t="shared" si="22"/>
        <v>26.249227600411945</v>
      </c>
      <c r="AI59" s="53"/>
      <c r="AJ59" s="488"/>
      <c r="AK59" s="465"/>
      <c r="AL59" s="57" t="s">
        <v>47</v>
      </c>
      <c r="AM59" s="56" t="s">
        <v>44</v>
      </c>
      <c r="AN59" s="55">
        <f>$G$59*AO59</f>
        <v>0.45726055612770339</v>
      </c>
      <c r="AO59" s="54">
        <f t="shared" si="23"/>
        <v>971.221421215242</v>
      </c>
      <c r="AP59" s="53"/>
      <c r="AQ59" s="4">
        <f t="shared" si="17"/>
        <v>4.4408920985006262E-16</v>
      </c>
    </row>
    <row r="60" spans="1:43" ht="26.25" thickBot="1" x14ac:dyDescent="0.25">
      <c r="A60" s="488"/>
      <c r="B60" s="465"/>
      <c r="C60" s="57" t="s">
        <v>46</v>
      </c>
      <c r="D60" s="56" t="s">
        <v>44</v>
      </c>
      <c r="E60" s="61">
        <v>10</v>
      </c>
      <c r="F60" s="60">
        <v>11640</v>
      </c>
      <c r="G60" s="59">
        <f t="shared" si="18"/>
        <v>8.5910652920962198E-4</v>
      </c>
      <c r="H60" s="488"/>
      <c r="I60" s="465"/>
      <c r="J60" s="57" t="s">
        <v>46</v>
      </c>
      <c r="K60" s="56" t="s">
        <v>44</v>
      </c>
      <c r="L60" s="58">
        <f>$G$60*M60-0.1</f>
        <v>4.6167868177136979</v>
      </c>
      <c r="M60" s="54">
        <f t="shared" si="19"/>
        <v>5490.3398558187437</v>
      </c>
      <c r="N60" s="77"/>
      <c r="O60" s="512"/>
      <c r="P60" s="464"/>
      <c r="Q60" s="73" t="s">
        <v>46</v>
      </c>
      <c r="R60" s="56" t="s">
        <v>44</v>
      </c>
      <c r="S60" s="58">
        <f>$G$60*T60+0.1</f>
        <v>0.12059732234809475</v>
      </c>
      <c r="T60" s="54">
        <f t="shared" si="20"/>
        <v>23.975283213182287</v>
      </c>
      <c r="U60" s="53" t="s">
        <v>150</v>
      </c>
      <c r="V60" s="488"/>
      <c r="W60" s="465"/>
      <c r="X60" s="57" t="s">
        <v>46</v>
      </c>
      <c r="Y60" s="56" t="s">
        <v>44</v>
      </c>
      <c r="Z60" s="55">
        <f>$G$60*AA60-0.1</f>
        <v>4.3799176107106073</v>
      </c>
      <c r="AA60" s="54">
        <f t="shared" si="21"/>
        <v>5214.624098867147</v>
      </c>
      <c r="AB60" s="53"/>
      <c r="AC60" s="488"/>
      <c r="AD60" s="465"/>
      <c r="AE60" s="57" t="s">
        <v>46</v>
      </c>
      <c r="AF60" s="56" t="s">
        <v>44</v>
      </c>
      <c r="AG60" s="55">
        <f>$G$60*AH60+0.1</f>
        <v>0.12059732234809475</v>
      </c>
      <c r="AH60" s="54">
        <f t="shared" si="22"/>
        <v>23.975283213182287</v>
      </c>
      <c r="AI60" s="53"/>
      <c r="AJ60" s="488"/>
      <c r="AK60" s="465"/>
      <c r="AL60" s="57" t="s">
        <v>46</v>
      </c>
      <c r="AM60" s="56" t="s">
        <v>44</v>
      </c>
      <c r="AN60" s="55">
        <f>$G$60*AO60</f>
        <v>0.76210092687950559</v>
      </c>
      <c r="AO60" s="54">
        <f t="shared" si="23"/>
        <v>887.08547888774456</v>
      </c>
      <c r="AP60" s="53"/>
      <c r="AQ60" s="4">
        <f t="shared" si="17"/>
        <v>0</v>
      </c>
    </row>
    <row r="61" spans="1:43" ht="26.25" thickBot="1" x14ac:dyDescent="0.25">
      <c r="A61" s="488"/>
      <c r="B61" s="465"/>
      <c r="C61" s="57" t="s">
        <v>45</v>
      </c>
      <c r="D61" s="56" t="s">
        <v>44</v>
      </c>
      <c r="E61" s="61">
        <v>1</v>
      </c>
      <c r="F61" s="60">
        <v>7666.0499999999993</v>
      </c>
      <c r="G61" s="59">
        <f t="shared" si="18"/>
        <v>1.3044527494602827E-4</v>
      </c>
      <c r="H61" s="488"/>
      <c r="I61" s="465"/>
      <c r="J61" s="57" t="s">
        <v>45</v>
      </c>
      <c r="K61" s="56" t="s">
        <v>44</v>
      </c>
      <c r="L61" s="58">
        <f>$G$61*M61-0.1</f>
        <v>0.37167868177136976</v>
      </c>
      <c r="M61" s="54">
        <f t="shared" si="19"/>
        <v>3615.9123583934088</v>
      </c>
      <c r="N61" s="368"/>
      <c r="O61" s="512"/>
      <c r="P61" s="464"/>
      <c r="Q61" s="73" t="s">
        <v>45</v>
      </c>
      <c r="R61" s="56" t="s">
        <v>44</v>
      </c>
      <c r="S61" s="58">
        <f>$G$61*T61+0.1</f>
        <v>0.10205973223480948</v>
      </c>
      <c r="T61" s="54">
        <f t="shared" si="20"/>
        <v>15.790010298661173</v>
      </c>
      <c r="U61" s="62" t="s">
        <v>150</v>
      </c>
      <c r="V61" s="488"/>
      <c r="W61" s="465"/>
      <c r="X61" s="57" t="s">
        <v>45</v>
      </c>
      <c r="Y61" s="56" t="s">
        <v>44</v>
      </c>
      <c r="Z61" s="55">
        <f>$G$61*AA61-0.1</f>
        <v>0.34799176107106067</v>
      </c>
      <c r="AA61" s="54">
        <f t="shared" si="21"/>
        <v>3434.327239958805</v>
      </c>
      <c r="AB61" s="62"/>
      <c r="AC61" s="488"/>
      <c r="AD61" s="465"/>
      <c r="AE61" s="57" t="s">
        <v>45</v>
      </c>
      <c r="AF61" s="56" t="s">
        <v>44</v>
      </c>
      <c r="AG61" s="55">
        <f>$G$61*AH61+0.1</f>
        <v>0.10205973223480948</v>
      </c>
      <c r="AH61" s="54">
        <f t="shared" si="22"/>
        <v>15.790010298661173</v>
      </c>
      <c r="AI61" s="62"/>
      <c r="AJ61" s="488"/>
      <c r="AK61" s="465"/>
      <c r="AL61" s="57" t="s">
        <v>45</v>
      </c>
      <c r="AM61" s="56" t="s">
        <v>44</v>
      </c>
      <c r="AN61" s="55">
        <f>$G$61*AO61</f>
        <v>7.6210092687950565E-2</v>
      </c>
      <c r="AO61" s="54">
        <f t="shared" si="23"/>
        <v>584.23038105046339</v>
      </c>
      <c r="AP61" s="62"/>
      <c r="AQ61" s="4">
        <f t="shared" si="17"/>
        <v>0</v>
      </c>
    </row>
    <row r="62" spans="1:43" ht="15" thickBot="1" x14ac:dyDescent="0.25">
      <c r="A62" s="488"/>
      <c r="B62" s="465"/>
      <c r="C62" s="57" t="s">
        <v>43</v>
      </c>
      <c r="D62" s="56" t="s">
        <v>42</v>
      </c>
      <c r="E62" s="61">
        <v>1</v>
      </c>
      <c r="F62" s="60">
        <v>90000</v>
      </c>
      <c r="G62" s="59">
        <f t="shared" si="18"/>
        <v>1.1111111111111112E-5</v>
      </c>
      <c r="H62" s="488"/>
      <c r="I62" s="465"/>
      <c r="J62" s="57" t="s">
        <v>43</v>
      </c>
      <c r="K62" s="56" t="s">
        <v>42</v>
      </c>
      <c r="L62" s="58">
        <f>$G$62*M62-0.1</f>
        <v>0.37167868177136976</v>
      </c>
      <c r="M62" s="54">
        <f t="shared" si="19"/>
        <v>42451.081359423275</v>
      </c>
      <c r="N62" s="77"/>
      <c r="O62" s="512"/>
      <c r="P62" s="464"/>
      <c r="Q62" s="73" t="s">
        <v>43</v>
      </c>
      <c r="R62" s="56" t="s">
        <v>42</v>
      </c>
      <c r="S62" s="58">
        <f>$G$62*T62+0.1</f>
        <v>0.10205973223480948</v>
      </c>
      <c r="T62" s="54">
        <f t="shared" si="20"/>
        <v>185.37590113285273</v>
      </c>
      <c r="U62" s="53" t="s">
        <v>150</v>
      </c>
      <c r="V62" s="488"/>
      <c r="W62" s="465"/>
      <c r="X62" s="57" t="s">
        <v>43</v>
      </c>
      <c r="Y62" s="56" t="s">
        <v>42</v>
      </c>
      <c r="Z62" s="55">
        <f>$G$62*AA62-0.1</f>
        <v>0.34799176107106078</v>
      </c>
      <c r="AA62" s="54">
        <f t="shared" si="21"/>
        <v>40319.258496395465</v>
      </c>
      <c r="AB62" s="53"/>
      <c r="AC62" s="488"/>
      <c r="AD62" s="465"/>
      <c r="AE62" s="57" t="s">
        <v>43</v>
      </c>
      <c r="AF62" s="56" t="s">
        <v>42</v>
      </c>
      <c r="AG62" s="55">
        <f>$G$62*AH62+0.1</f>
        <v>0.10205973223480948</v>
      </c>
      <c r="AH62" s="54">
        <f t="shared" si="22"/>
        <v>185.37590113285273</v>
      </c>
      <c r="AI62" s="53"/>
      <c r="AJ62" s="488"/>
      <c r="AK62" s="465"/>
      <c r="AL62" s="57" t="s">
        <v>43</v>
      </c>
      <c r="AM62" s="56" t="s">
        <v>42</v>
      </c>
      <c r="AN62" s="55">
        <f>$G$62*AO62</f>
        <v>7.6210092687950565E-2</v>
      </c>
      <c r="AO62" s="54">
        <f t="shared" si="23"/>
        <v>6858.9083419155504</v>
      </c>
      <c r="AP62" s="53"/>
      <c r="AQ62" s="4">
        <f t="shared" si="17"/>
        <v>0</v>
      </c>
    </row>
    <row r="63" spans="1:43" ht="26.25" thickBot="1" x14ac:dyDescent="0.25">
      <c r="A63" s="488"/>
      <c r="B63" s="465"/>
      <c r="C63" s="57" t="s">
        <v>41</v>
      </c>
      <c r="D63" s="56" t="s">
        <v>40</v>
      </c>
      <c r="E63" s="61">
        <v>1</v>
      </c>
      <c r="F63" s="60">
        <v>4500</v>
      </c>
      <c r="G63" s="59">
        <f t="shared" si="18"/>
        <v>2.2222222222222223E-4</v>
      </c>
      <c r="H63" s="488"/>
      <c r="I63" s="465"/>
      <c r="J63" s="57" t="s">
        <v>41</v>
      </c>
      <c r="K63" s="56" t="s">
        <v>40</v>
      </c>
      <c r="L63" s="58">
        <f>$G$63*M63-0.1</f>
        <v>0.37167868177136976</v>
      </c>
      <c r="M63" s="54">
        <f t="shared" si="19"/>
        <v>2122.5540679711639</v>
      </c>
      <c r="N63" s="77"/>
      <c r="O63" s="512"/>
      <c r="P63" s="464"/>
      <c r="Q63" s="73" t="s">
        <v>41</v>
      </c>
      <c r="R63" s="56" t="s">
        <v>40</v>
      </c>
      <c r="S63" s="58">
        <f>$G$63*T63+0.1</f>
        <v>0.10205973223480948</v>
      </c>
      <c r="T63" s="54">
        <f t="shared" si="20"/>
        <v>9.2687950566426363</v>
      </c>
      <c r="U63" s="53" t="s">
        <v>150</v>
      </c>
      <c r="V63" s="488"/>
      <c r="W63" s="465"/>
      <c r="X63" s="57" t="s">
        <v>41</v>
      </c>
      <c r="Y63" s="56" t="s">
        <v>40</v>
      </c>
      <c r="Z63" s="55">
        <f>$G$63*AA63-0.1</f>
        <v>0.34799176107106078</v>
      </c>
      <c r="AA63" s="54">
        <f t="shared" si="21"/>
        <v>2015.9629248197734</v>
      </c>
      <c r="AB63" s="53"/>
      <c r="AC63" s="488"/>
      <c r="AD63" s="465"/>
      <c r="AE63" s="57" t="s">
        <v>41</v>
      </c>
      <c r="AF63" s="56" t="s">
        <v>40</v>
      </c>
      <c r="AG63" s="55">
        <f>$G$63*AH63+0.1</f>
        <v>0.10205973223480948</v>
      </c>
      <c r="AH63" s="54">
        <f t="shared" si="22"/>
        <v>9.2687950566426363</v>
      </c>
      <c r="AI63" s="53"/>
      <c r="AJ63" s="488"/>
      <c r="AK63" s="465"/>
      <c r="AL63" s="57" t="s">
        <v>41</v>
      </c>
      <c r="AM63" s="56" t="s">
        <v>40</v>
      </c>
      <c r="AN63" s="55">
        <f>$G$63*AO63</f>
        <v>7.6210092687950565E-2</v>
      </c>
      <c r="AO63" s="54">
        <f t="shared" si="23"/>
        <v>342.94541709577754</v>
      </c>
      <c r="AP63" s="53"/>
      <c r="AQ63" s="4">
        <f t="shared" si="17"/>
        <v>0</v>
      </c>
    </row>
    <row r="64" spans="1:43" ht="15" hidden="1" customHeight="1" thickBot="1" x14ac:dyDescent="0.25">
      <c r="A64" s="488"/>
      <c r="B64" s="465"/>
      <c r="C64" s="8" t="s">
        <v>2</v>
      </c>
      <c r="D64" s="7"/>
      <c r="E64" s="52"/>
      <c r="F64" s="6">
        <f>SUM(F58:F63)</f>
        <v>202150.05</v>
      </c>
      <c r="G64" s="5">
        <f>SUM(G58:G63)</f>
        <v>1.8259700626078069E-3</v>
      </c>
      <c r="H64" s="488"/>
      <c r="I64" s="465"/>
      <c r="J64" s="8" t="s">
        <v>2</v>
      </c>
      <c r="K64" s="7"/>
      <c r="L64" s="52"/>
      <c r="M64" s="51">
        <f>$F$64/$G$2*H2</f>
        <v>95349.86910401647</v>
      </c>
      <c r="N64" s="369">
        <f>SUM(N58:N63)</f>
        <v>0</v>
      </c>
      <c r="O64" s="512"/>
      <c r="P64" s="464"/>
      <c r="Q64" s="206" t="s">
        <v>2</v>
      </c>
      <c r="R64" s="7"/>
      <c r="S64" s="52"/>
      <c r="T64" s="195">
        <f>$F$64/$G$2*I2</f>
        <v>416.37497425334703</v>
      </c>
      <c r="U64" s="5">
        <f>SUM(U58:U63)</f>
        <v>0</v>
      </c>
      <c r="V64" s="488"/>
      <c r="W64" s="465"/>
      <c r="X64" s="8" t="s">
        <v>2</v>
      </c>
      <c r="Y64" s="7"/>
      <c r="Z64" s="52"/>
      <c r="AA64" s="51">
        <f>$F$64/$G$2*J2</f>
        <v>90561.55690010298</v>
      </c>
      <c r="AB64" s="5">
        <f>SUM(AB58:AB63)</f>
        <v>0</v>
      </c>
      <c r="AC64" s="488"/>
      <c r="AD64" s="465"/>
      <c r="AE64" s="8" t="s">
        <v>2</v>
      </c>
      <c r="AF64" s="7"/>
      <c r="AG64" s="52"/>
      <c r="AH64" s="51">
        <f>$F$64/$G$2*K2</f>
        <v>416.37497425334703</v>
      </c>
      <c r="AI64" s="5">
        <f>SUM(AI58:AI63)</f>
        <v>0</v>
      </c>
      <c r="AJ64" s="488"/>
      <c r="AK64" s="465"/>
      <c r="AL64" s="8" t="s">
        <v>2</v>
      </c>
      <c r="AM64" s="7"/>
      <c r="AN64" s="52"/>
      <c r="AO64" s="51">
        <f>$F$64/$G$2*L2</f>
        <v>15405.87404737384</v>
      </c>
      <c r="AP64" s="5">
        <f>SUM(AP58:AP63)</f>
        <v>0</v>
      </c>
      <c r="AQ64" s="4">
        <f t="shared" si="17"/>
        <v>0</v>
      </c>
    </row>
    <row r="65" spans="1:43" ht="26.25" customHeight="1" thickBot="1" x14ac:dyDescent="0.25">
      <c r="A65" s="488"/>
      <c r="B65" s="464"/>
      <c r="C65" s="466" t="s">
        <v>39</v>
      </c>
      <c r="D65" s="466"/>
      <c r="E65" s="466"/>
      <c r="F65" s="466"/>
      <c r="G65" s="467"/>
      <c r="H65" s="488"/>
      <c r="I65" s="464"/>
      <c r="J65" s="466" t="s">
        <v>39</v>
      </c>
      <c r="K65" s="468"/>
      <c r="L65" s="468"/>
      <c r="M65" s="468"/>
      <c r="N65" s="468"/>
      <c r="O65" s="512"/>
      <c r="P65" s="464"/>
      <c r="Q65" s="470" t="s">
        <v>39</v>
      </c>
      <c r="R65" s="466"/>
      <c r="S65" s="466"/>
      <c r="T65" s="466"/>
      <c r="U65" s="467"/>
      <c r="V65" s="472"/>
      <c r="W65" s="464"/>
      <c r="X65" s="466" t="s">
        <v>39</v>
      </c>
      <c r="Y65" s="468"/>
      <c r="Z65" s="468"/>
      <c r="AA65" s="468"/>
      <c r="AB65" s="469"/>
      <c r="AC65" s="488"/>
      <c r="AD65" s="464"/>
      <c r="AE65" s="466" t="s">
        <v>39</v>
      </c>
      <c r="AF65" s="466"/>
      <c r="AG65" s="468"/>
      <c r="AH65" s="468"/>
      <c r="AI65" s="469"/>
      <c r="AJ65" s="488"/>
      <c r="AK65" s="464"/>
      <c r="AL65" s="466" t="s">
        <v>39</v>
      </c>
      <c r="AM65" s="466"/>
      <c r="AN65" s="468"/>
      <c r="AO65" s="468"/>
      <c r="AP65" s="469"/>
      <c r="AQ65" s="4">
        <f t="shared" si="17"/>
        <v>0</v>
      </c>
    </row>
    <row r="66" spans="1:43" ht="90" thickBot="1" x14ac:dyDescent="0.25">
      <c r="A66" s="488"/>
      <c r="B66" s="464"/>
      <c r="C66" s="47" t="s">
        <v>38</v>
      </c>
      <c r="D66" s="50" t="s">
        <v>37</v>
      </c>
      <c r="E66" s="40">
        <v>49</v>
      </c>
      <c r="F66" s="39">
        <v>22262958.999999996</v>
      </c>
      <c r="G66" s="49">
        <f>E66/F66</f>
        <v>2.2009652894747734E-6</v>
      </c>
      <c r="H66" s="488"/>
      <c r="I66" s="464"/>
      <c r="J66" s="48" t="s">
        <v>38</v>
      </c>
      <c r="K66" s="31" t="s">
        <v>37</v>
      </c>
      <c r="L66" s="41">
        <f>$G$66*M66</f>
        <v>23.112255406797122</v>
      </c>
      <c r="M66" s="12">
        <v>10500963.153450051</v>
      </c>
      <c r="N66" s="42"/>
      <c r="O66" s="512"/>
      <c r="P66" s="464"/>
      <c r="Q66" s="279" t="s">
        <v>38</v>
      </c>
      <c r="R66" s="128" t="s">
        <v>37</v>
      </c>
      <c r="S66" s="322">
        <f>$G$66*T66</f>
        <v>0.10092687950566429</v>
      </c>
      <c r="T66" s="244">
        <v>45855.734294541711</v>
      </c>
      <c r="U66" s="340" t="s">
        <v>162</v>
      </c>
      <c r="V66" s="472"/>
      <c r="W66" s="464"/>
      <c r="X66" s="48" t="s">
        <v>38</v>
      </c>
      <c r="Y66" s="31" t="s">
        <v>37</v>
      </c>
      <c r="Z66" s="41">
        <f>$G$66*AA66</f>
        <v>21.951596292481984</v>
      </c>
      <c r="AA66" s="12">
        <v>9973622.2090628222</v>
      </c>
      <c r="AB66" s="31"/>
      <c r="AC66" s="472"/>
      <c r="AD66" s="464"/>
      <c r="AE66" s="47" t="s">
        <v>38</v>
      </c>
      <c r="AF66" s="46" t="s">
        <v>37</v>
      </c>
      <c r="AG66" s="41">
        <f>$G$66*AH66</f>
        <v>0.10092687950566429</v>
      </c>
      <c r="AH66" s="12">
        <v>45855.734294541711</v>
      </c>
      <c r="AI66" s="31"/>
      <c r="AJ66" s="472"/>
      <c r="AK66" s="464"/>
      <c r="AL66" s="47" t="s">
        <v>38</v>
      </c>
      <c r="AM66" s="46" t="s">
        <v>37</v>
      </c>
      <c r="AN66" s="41">
        <f>$G$66*AO66</f>
        <v>3.7342945417095783</v>
      </c>
      <c r="AO66" s="12">
        <v>1696662.1688980432</v>
      </c>
      <c r="AP66" s="31"/>
      <c r="AQ66" s="4">
        <f t="shared" si="17"/>
        <v>-1.1990408665951691E-14</v>
      </c>
    </row>
    <row r="67" spans="1:43" ht="14.25" hidden="1" customHeight="1" x14ac:dyDescent="0.2">
      <c r="A67" s="488"/>
      <c r="B67" s="465"/>
      <c r="C67" s="43"/>
      <c r="D67" s="31"/>
      <c r="E67" s="45"/>
      <c r="F67" s="32"/>
      <c r="G67" s="31"/>
      <c r="H67" s="488"/>
      <c r="I67" s="465"/>
      <c r="J67" s="44"/>
      <c r="K67" s="31"/>
      <c r="L67" s="41"/>
      <c r="M67" s="32"/>
      <c r="N67" s="42"/>
      <c r="O67" s="512"/>
      <c r="P67" s="464"/>
      <c r="Q67" s="207"/>
      <c r="R67" s="31"/>
      <c r="S67" s="41"/>
      <c r="T67" s="32"/>
      <c r="U67" s="71"/>
      <c r="V67" s="472"/>
      <c r="W67" s="465"/>
      <c r="X67" s="44"/>
      <c r="Y67" s="31"/>
      <c r="Z67" s="41"/>
      <c r="AA67" s="32"/>
      <c r="AB67" s="31"/>
      <c r="AC67" s="472"/>
      <c r="AD67" s="465"/>
      <c r="AE67" s="43"/>
      <c r="AF67" s="42"/>
      <c r="AG67" s="41"/>
      <c r="AH67" s="32"/>
      <c r="AI67" s="31"/>
      <c r="AJ67" s="472"/>
      <c r="AK67" s="465"/>
      <c r="AL67" s="43"/>
      <c r="AM67" s="42"/>
      <c r="AN67" s="41"/>
      <c r="AO67" s="32"/>
      <c r="AP67" s="31"/>
      <c r="AQ67" s="4">
        <f t="shared" si="17"/>
        <v>0</v>
      </c>
    </row>
    <row r="68" spans="1:43" ht="14.25" hidden="1" customHeight="1" x14ac:dyDescent="0.2">
      <c r="A68" s="488"/>
      <c r="B68" s="465"/>
      <c r="C68" s="43"/>
      <c r="D68" s="31"/>
      <c r="E68" s="45"/>
      <c r="F68" s="32"/>
      <c r="G68" s="31"/>
      <c r="H68" s="488"/>
      <c r="I68" s="465"/>
      <c r="J68" s="44"/>
      <c r="K68" s="31"/>
      <c r="L68" s="41"/>
      <c r="M68" s="32"/>
      <c r="N68" s="42"/>
      <c r="O68" s="512"/>
      <c r="P68" s="464"/>
      <c r="Q68" s="207"/>
      <c r="R68" s="31"/>
      <c r="S68" s="41"/>
      <c r="T68" s="32"/>
      <c r="U68" s="71"/>
      <c r="V68" s="472"/>
      <c r="W68" s="465"/>
      <c r="X68" s="44"/>
      <c r="Y68" s="31"/>
      <c r="Z68" s="41"/>
      <c r="AA68" s="32"/>
      <c r="AB68" s="31"/>
      <c r="AC68" s="472"/>
      <c r="AD68" s="465"/>
      <c r="AE68" s="43"/>
      <c r="AF68" s="42"/>
      <c r="AG68" s="41"/>
      <c r="AH68" s="32"/>
      <c r="AI68" s="31"/>
      <c r="AJ68" s="472"/>
      <c r="AK68" s="465"/>
      <c r="AL68" s="43"/>
      <c r="AM68" s="42"/>
      <c r="AN68" s="41"/>
      <c r="AO68" s="32"/>
      <c r="AP68" s="31"/>
      <c r="AQ68" s="4">
        <f t="shared" si="17"/>
        <v>0</v>
      </c>
    </row>
    <row r="69" spans="1:43" ht="14.25" hidden="1" customHeight="1" x14ac:dyDescent="0.2">
      <c r="A69" s="488"/>
      <c r="B69" s="465"/>
      <c r="C69" s="43"/>
      <c r="D69" s="31"/>
      <c r="E69" s="45"/>
      <c r="F69" s="32"/>
      <c r="G69" s="31"/>
      <c r="H69" s="488"/>
      <c r="I69" s="465"/>
      <c r="J69" s="44"/>
      <c r="K69" s="31"/>
      <c r="L69" s="41"/>
      <c r="M69" s="32"/>
      <c r="N69" s="42"/>
      <c r="O69" s="512"/>
      <c r="P69" s="464"/>
      <c r="Q69" s="207"/>
      <c r="R69" s="31"/>
      <c r="S69" s="41"/>
      <c r="T69" s="32"/>
      <c r="U69" s="71"/>
      <c r="V69" s="472"/>
      <c r="W69" s="465"/>
      <c r="X69" s="44"/>
      <c r="Y69" s="31"/>
      <c r="Z69" s="41"/>
      <c r="AA69" s="32"/>
      <c r="AB69" s="31"/>
      <c r="AC69" s="472"/>
      <c r="AD69" s="465"/>
      <c r="AE69" s="43"/>
      <c r="AF69" s="42"/>
      <c r="AG69" s="41"/>
      <c r="AH69" s="32"/>
      <c r="AI69" s="31"/>
      <c r="AJ69" s="472"/>
      <c r="AK69" s="465"/>
      <c r="AL69" s="43"/>
      <c r="AM69" s="42"/>
      <c r="AN69" s="41"/>
      <c r="AO69" s="32"/>
      <c r="AP69" s="31"/>
      <c r="AQ69" s="4">
        <f t="shared" si="17"/>
        <v>0</v>
      </c>
    </row>
    <row r="70" spans="1:43" ht="14.25" hidden="1" customHeight="1" x14ac:dyDescent="0.2">
      <c r="A70" s="488"/>
      <c r="B70" s="465"/>
      <c r="C70" s="43"/>
      <c r="D70" s="31"/>
      <c r="E70" s="45"/>
      <c r="F70" s="32"/>
      <c r="G70" s="31"/>
      <c r="H70" s="488"/>
      <c r="I70" s="465"/>
      <c r="J70" s="44"/>
      <c r="K70" s="31"/>
      <c r="L70" s="41"/>
      <c r="M70" s="32"/>
      <c r="N70" s="42"/>
      <c r="O70" s="512"/>
      <c r="P70" s="464"/>
      <c r="Q70" s="207"/>
      <c r="R70" s="31"/>
      <c r="S70" s="41"/>
      <c r="T70" s="32"/>
      <c r="U70" s="71"/>
      <c r="V70" s="472"/>
      <c r="W70" s="465"/>
      <c r="X70" s="44"/>
      <c r="Y70" s="31"/>
      <c r="Z70" s="41"/>
      <c r="AA70" s="32"/>
      <c r="AB70" s="31"/>
      <c r="AC70" s="472"/>
      <c r="AD70" s="465"/>
      <c r="AE70" s="43"/>
      <c r="AF70" s="42"/>
      <c r="AG70" s="41"/>
      <c r="AH70" s="32"/>
      <c r="AI70" s="31"/>
      <c r="AJ70" s="472"/>
      <c r="AK70" s="465"/>
      <c r="AL70" s="43"/>
      <c r="AM70" s="42"/>
      <c r="AN70" s="41"/>
      <c r="AO70" s="32"/>
      <c r="AP70" s="31"/>
      <c r="AQ70" s="4">
        <f t="shared" si="17"/>
        <v>0</v>
      </c>
    </row>
    <row r="71" spans="1:43" ht="14.25" hidden="1" customHeight="1" x14ac:dyDescent="0.2">
      <c r="A71" s="488"/>
      <c r="B71" s="465"/>
      <c r="C71" s="43"/>
      <c r="D71" s="31"/>
      <c r="E71" s="45"/>
      <c r="F71" s="32"/>
      <c r="G71" s="31"/>
      <c r="H71" s="488"/>
      <c r="I71" s="465"/>
      <c r="J71" s="44"/>
      <c r="K71" s="31"/>
      <c r="L71" s="41"/>
      <c r="M71" s="32"/>
      <c r="N71" s="42"/>
      <c r="O71" s="512"/>
      <c r="P71" s="464"/>
      <c r="Q71" s="207"/>
      <c r="R71" s="31"/>
      <c r="S71" s="41"/>
      <c r="T71" s="32"/>
      <c r="U71" s="71"/>
      <c r="V71" s="472"/>
      <c r="W71" s="465"/>
      <c r="X71" s="44"/>
      <c r="Y71" s="31"/>
      <c r="Z71" s="41"/>
      <c r="AA71" s="32"/>
      <c r="AB71" s="31"/>
      <c r="AC71" s="472"/>
      <c r="AD71" s="465"/>
      <c r="AE71" s="43"/>
      <c r="AF71" s="42"/>
      <c r="AG71" s="41"/>
      <c r="AH71" s="32"/>
      <c r="AI71" s="31"/>
      <c r="AJ71" s="472"/>
      <c r="AK71" s="465"/>
      <c r="AL71" s="43"/>
      <c r="AM71" s="42"/>
      <c r="AN71" s="41"/>
      <c r="AO71" s="32"/>
      <c r="AP71" s="31"/>
      <c r="AQ71" s="4">
        <f t="shared" si="17"/>
        <v>0</v>
      </c>
    </row>
    <row r="72" spans="1:43" ht="14.25" hidden="1" customHeight="1" x14ac:dyDescent="0.2">
      <c r="A72" s="488"/>
      <c r="B72" s="465"/>
      <c r="C72" s="43"/>
      <c r="D72" s="31"/>
      <c r="E72" s="45"/>
      <c r="F72" s="32"/>
      <c r="G72" s="31"/>
      <c r="H72" s="488"/>
      <c r="I72" s="465"/>
      <c r="J72" s="44"/>
      <c r="K72" s="31"/>
      <c r="L72" s="41"/>
      <c r="M72" s="32"/>
      <c r="N72" s="42"/>
      <c r="O72" s="512"/>
      <c r="P72" s="464"/>
      <c r="Q72" s="207"/>
      <c r="R72" s="31"/>
      <c r="S72" s="41"/>
      <c r="T72" s="32"/>
      <c r="U72" s="71"/>
      <c r="V72" s="472"/>
      <c r="W72" s="465"/>
      <c r="X72" s="44"/>
      <c r="Y72" s="31"/>
      <c r="Z72" s="41"/>
      <c r="AA72" s="32"/>
      <c r="AB72" s="31"/>
      <c r="AC72" s="472"/>
      <c r="AD72" s="465"/>
      <c r="AE72" s="43"/>
      <c r="AF72" s="42"/>
      <c r="AG72" s="41"/>
      <c r="AH72" s="32"/>
      <c r="AI72" s="31"/>
      <c r="AJ72" s="472"/>
      <c r="AK72" s="465"/>
      <c r="AL72" s="43"/>
      <c r="AM72" s="42"/>
      <c r="AN72" s="41"/>
      <c r="AO72" s="32"/>
      <c r="AP72" s="31"/>
      <c r="AQ72" s="4">
        <f t="shared" si="17"/>
        <v>0</v>
      </c>
    </row>
    <row r="73" spans="1:43" ht="14.25" hidden="1" customHeight="1" x14ac:dyDescent="0.2">
      <c r="A73" s="488"/>
      <c r="B73" s="465"/>
      <c r="C73" s="43"/>
      <c r="D73" s="31"/>
      <c r="E73" s="45"/>
      <c r="F73" s="32"/>
      <c r="G73" s="31"/>
      <c r="H73" s="488"/>
      <c r="I73" s="465"/>
      <c r="J73" s="44"/>
      <c r="K73" s="31"/>
      <c r="L73" s="41"/>
      <c r="M73" s="32"/>
      <c r="N73" s="42"/>
      <c r="O73" s="512"/>
      <c r="P73" s="464"/>
      <c r="Q73" s="207"/>
      <c r="R73" s="31"/>
      <c r="S73" s="41"/>
      <c r="T73" s="32"/>
      <c r="U73" s="71"/>
      <c r="V73" s="472"/>
      <c r="W73" s="465"/>
      <c r="X73" s="44"/>
      <c r="Y73" s="31"/>
      <c r="Z73" s="41"/>
      <c r="AA73" s="32"/>
      <c r="AB73" s="31"/>
      <c r="AC73" s="472"/>
      <c r="AD73" s="465"/>
      <c r="AE73" s="43"/>
      <c r="AF73" s="42"/>
      <c r="AG73" s="41"/>
      <c r="AH73" s="32"/>
      <c r="AI73" s="31"/>
      <c r="AJ73" s="472"/>
      <c r="AK73" s="465"/>
      <c r="AL73" s="43"/>
      <c r="AM73" s="42"/>
      <c r="AN73" s="41"/>
      <c r="AO73" s="32"/>
      <c r="AP73" s="31"/>
      <c r="AQ73" s="4">
        <f t="shared" ref="AQ73:AQ104" si="24">E73-L73-S73-Z73-AG73-AN73</f>
        <v>0</v>
      </c>
    </row>
    <row r="74" spans="1:43" ht="14.25" hidden="1" customHeight="1" x14ac:dyDescent="0.2">
      <c r="A74" s="488"/>
      <c r="B74" s="465"/>
      <c r="C74" s="43"/>
      <c r="D74" s="31"/>
      <c r="E74" s="45"/>
      <c r="F74" s="32"/>
      <c r="G74" s="31"/>
      <c r="H74" s="488"/>
      <c r="I74" s="465"/>
      <c r="J74" s="44"/>
      <c r="K74" s="31"/>
      <c r="L74" s="41"/>
      <c r="M74" s="32"/>
      <c r="N74" s="42"/>
      <c r="O74" s="512"/>
      <c r="P74" s="464"/>
      <c r="Q74" s="207"/>
      <c r="R74" s="31"/>
      <c r="S74" s="41"/>
      <c r="T74" s="32"/>
      <c r="U74" s="71"/>
      <c r="V74" s="472"/>
      <c r="W74" s="465"/>
      <c r="X74" s="44"/>
      <c r="Y74" s="31"/>
      <c r="Z74" s="41"/>
      <c r="AA74" s="32"/>
      <c r="AB74" s="31"/>
      <c r="AC74" s="472"/>
      <c r="AD74" s="465"/>
      <c r="AE74" s="43"/>
      <c r="AF74" s="42"/>
      <c r="AG74" s="41"/>
      <c r="AH74" s="32"/>
      <c r="AI74" s="31"/>
      <c r="AJ74" s="472"/>
      <c r="AK74" s="465"/>
      <c r="AL74" s="43"/>
      <c r="AM74" s="42"/>
      <c r="AN74" s="41"/>
      <c r="AO74" s="32"/>
      <c r="AP74" s="31"/>
      <c r="AQ74" s="4">
        <f t="shared" si="24"/>
        <v>0</v>
      </c>
    </row>
    <row r="75" spans="1:43" ht="14.25" hidden="1" customHeight="1" x14ac:dyDescent="0.2">
      <c r="A75" s="488"/>
      <c r="B75" s="465"/>
      <c r="C75" s="43"/>
      <c r="D75" s="31"/>
      <c r="E75" s="45"/>
      <c r="F75" s="32"/>
      <c r="G75" s="31"/>
      <c r="H75" s="488"/>
      <c r="I75" s="465"/>
      <c r="J75" s="44"/>
      <c r="K75" s="31"/>
      <c r="L75" s="41"/>
      <c r="M75" s="32"/>
      <c r="N75" s="42"/>
      <c r="O75" s="512"/>
      <c r="P75" s="464"/>
      <c r="Q75" s="207"/>
      <c r="R75" s="31"/>
      <c r="S75" s="41"/>
      <c r="T75" s="32"/>
      <c r="U75" s="71"/>
      <c r="V75" s="472"/>
      <c r="W75" s="465"/>
      <c r="X75" s="44"/>
      <c r="Y75" s="31"/>
      <c r="Z75" s="41"/>
      <c r="AA75" s="32"/>
      <c r="AB75" s="31"/>
      <c r="AC75" s="472"/>
      <c r="AD75" s="465"/>
      <c r="AE75" s="43"/>
      <c r="AF75" s="42"/>
      <c r="AG75" s="41"/>
      <c r="AH75" s="32"/>
      <c r="AI75" s="31"/>
      <c r="AJ75" s="472"/>
      <c r="AK75" s="465"/>
      <c r="AL75" s="43"/>
      <c r="AM75" s="42"/>
      <c r="AN75" s="41"/>
      <c r="AO75" s="32"/>
      <c r="AP75" s="31"/>
      <c r="AQ75" s="4">
        <f t="shared" si="24"/>
        <v>0</v>
      </c>
    </row>
    <row r="76" spans="1:43" ht="14.25" hidden="1" customHeight="1" x14ac:dyDescent="0.2">
      <c r="A76" s="488"/>
      <c r="B76" s="465"/>
      <c r="C76" s="43"/>
      <c r="D76" s="31"/>
      <c r="E76" s="45"/>
      <c r="F76" s="32"/>
      <c r="G76" s="31"/>
      <c r="H76" s="488"/>
      <c r="I76" s="465"/>
      <c r="J76" s="44"/>
      <c r="K76" s="31"/>
      <c r="L76" s="41"/>
      <c r="M76" s="32"/>
      <c r="N76" s="42"/>
      <c r="O76" s="512"/>
      <c r="P76" s="464"/>
      <c r="Q76" s="207"/>
      <c r="R76" s="31"/>
      <c r="S76" s="41"/>
      <c r="T76" s="32"/>
      <c r="U76" s="71"/>
      <c r="V76" s="472"/>
      <c r="W76" s="465"/>
      <c r="X76" s="44"/>
      <c r="Y76" s="31"/>
      <c r="Z76" s="41"/>
      <c r="AA76" s="32"/>
      <c r="AB76" s="31"/>
      <c r="AC76" s="472"/>
      <c r="AD76" s="465"/>
      <c r="AE76" s="43"/>
      <c r="AF76" s="42"/>
      <c r="AG76" s="41"/>
      <c r="AH76" s="32"/>
      <c r="AI76" s="31"/>
      <c r="AJ76" s="472"/>
      <c r="AK76" s="465"/>
      <c r="AL76" s="43"/>
      <c r="AM76" s="42"/>
      <c r="AN76" s="41"/>
      <c r="AO76" s="32"/>
      <c r="AP76" s="31"/>
      <c r="AQ76" s="4">
        <f t="shared" si="24"/>
        <v>0</v>
      </c>
    </row>
    <row r="77" spans="1:43" ht="14.25" hidden="1" customHeight="1" x14ac:dyDescent="0.2">
      <c r="A77" s="488"/>
      <c r="B77" s="465"/>
      <c r="C77" s="43"/>
      <c r="D77" s="31"/>
      <c r="E77" s="45"/>
      <c r="F77" s="32"/>
      <c r="G77" s="31"/>
      <c r="H77" s="488"/>
      <c r="I77" s="465"/>
      <c r="J77" s="44"/>
      <c r="K77" s="31"/>
      <c r="L77" s="41"/>
      <c r="M77" s="32"/>
      <c r="N77" s="42"/>
      <c r="O77" s="512"/>
      <c r="P77" s="464"/>
      <c r="Q77" s="207"/>
      <c r="R77" s="31"/>
      <c r="S77" s="41"/>
      <c r="T77" s="32"/>
      <c r="U77" s="71"/>
      <c r="V77" s="472"/>
      <c r="W77" s="465"/>
      <c r="X77" s="44"/>
      <c r="Y77" s="31"/>
      <c r="Z77" s="41"/>
      <c r="AA77" s="32"/>
      <c r="AB77" s="31"/>
      <c r="AC77" s="472"/>
      <c r="AD77" s="465"/>
      <c r="AE77" s="43"/>
      <c r="AF77" s="42"/>
      <c r="AG77" s="41"/>
      <c r="AH77" s="32"/>
      <c r="AI77" s="31"/>
      <c r="AJ77" s="472"/>
      <c r="AK77" s="465"/>
      <c r="AL77" s="43"/>
      <c r="AM77" s="42"/>
      <c r="AN77" s="41"/>
      <c r="AO77" s="32"/>
      <c r="AP77" s="31"/>
      <c r="AQ77" s="4">
        <f t="shared" si="24"/>
        <v>0</v>
      </c>
    </row>
    <row r="78" spans="1:43" ht="14.25" hidden="1" customHeight="1" x14ac:dyDescent="0.2">
      <c r="A78" s="488"/>
      <c r="B78" s="465"/>
      <c r="C78" s="43"/>
      <c r="D78" s="31"/>
      <c r="E78" s="45"/>
      <c r="F78" s="32"/>
      <c r="G78" s="31"/>
      <c r="H78" s="488"/>
      <c r="I78" s="465"/>
      <c r="J78" s="44"/>
      <c r="K78" s="31"/>
      <c r="L78" s="41"/>
      <c r="M78" s="32"/>
      <c r="N78" s="42"/>
      <c r="O78" s="512"/>
      <c r="P78" s="464"/>
      <c r="Q78" s="207"/>
      <c r="R78" s="31"/>
      <c r="S78" s="41"/>
      <c r="T78" s="32"/>
      <c r="U78" s="71"/>
      <c r="V78" s="472"/>
      <c r="W78" s="465"/>
      <c r="X78" s="44"/>
      <c r="Y78" s="31"/>
      <c r="Z78" s="41"/>
      <c r="AA78" s="32"/>
      <c r="AB78" s="31"/>
      <c r="AC78" s="472"/>
      <c r="AD78" s="465"/>
      <c r="AE78" s="43"/>
      <c r="AF78" s="42"/>
      <c r="AG78" s="41"/>
      <c r="AH78" s="32"/>
      <c r="AI78" s="31"/>
      <c r="AJ78" s="472"/>
      <c r="AK78" s="465"/>
      <c r="AL78" s="43"/>
      <c r="AM78" s="42"/>
      <c r="AN78" s="41"/>
      <c r="AO78" s="32"/>
      <c r="AP78" s="31"/>
      <c r="AQ78" s="4">
        <f t="shared" si="24"/>
        <v>0</v>
      </c>
    </row>
    <row r="79" spans="1:43" ht="14.25" hidden="1" customHeight="1" x14ac:dyDescent="0.2">
      <c r="A79" s="488"/>
      <c r="B79" s="465"/>
      <c r="C79" s="43"/>
      <c r="D79" s="31"/>
      <c r="E79" s="45"/>
      <c r="F79" s="32"/>
      <c r="G79" s="31"/>
      <c r="H79" s="488"/>
      <c r="I79" s="465"/>
      <c r="J79" s="44"/>
      <c r="K79" s="31"/>
      <c r="L79" s="41"/>
      <c r="M79" s="32"/>
      <c r="N79" s="42"/>
      <c r="O79" s="512"/>
      <c r="P79" s="464"/>
      <c r="Q79" s="207"/>
      <c r="R79" s="31"/>
      <c r="S79" s="41"/>
      <c r="T79" s="32"/>
      <c r="U79" s="71"/>
      <c r="V79" s="472"/>
      <c r="W79" s="465"/>
      <c r="X79" s="44"/>
      <c r="Y79" s="31"/>
      <c r="Z79" s="41"/>
      <c r="AA79" s="32"/>
      <c r="AB79" s="31"/>
      <c r="AC79" s="472"/>
      <c r="AD79" s="465"/>
      <c r="AE79" s="43"/>
      <c r="AF79" s="42"/>
      <c r="AG79" s="41"/>
      <c r="AH79" s="32"/>
      <c r="AI79" s="31"/>
      <c r="AJ79" s="472"/>
      <c r="AK79" s="465"/>
      <c r="AL79" s="43"/>
      <c r="AM79" s="42"/>
      <c r="AN79" s="41"/>
      <c r="AO79" s="32"/>
      <c r="AP79" s="31"/>
      <c r="AQ79" s="4">
        <f t="shared" si="24"/>
        <v>0</v>
      </c>
    </row>
    <row r="80" spans="1:43" ht="14.25" hidden="1" customHeight="1" x14ac:dyDescent="0.2">
      <c r="A80" s="488"/>
      <c r="B80" s="465"/>
      <c r="C80" s="43"/>
      <c r="D80" s="31"/>
      <c r="E80" s="45"/>
      <c r="F80" s="32"/>
      <c r="G80" s="31"/>
      <c r="H80" s="488"/>
      <c r="I80" s="465"/>
      <c r="J80" s="44"/>
      <c r="K80" s="31"/>
      <c r="L80" s="41"/>
      <c r="M80" s="32"/>
      <c r="N80" s="42"/>
      <c r="O80" s="512"/>
      <c r="P80" s="464"/>
      <c r="Q80" s="207"/>
      <c r="R80" s="31"/>
      <c r="S80" s="41"/>
      <c r="T80" s="32"/>
      <c r="U80" s="71"/>
      <c r="V80" s="472"/>
      <c r="W80" s="465"/>
      <c r="X80" s="44"/>
      <c r="Y80" s="31"/>
      <c r="Z80" s="41"/>
      <c r="AA80" s="32"/>
      <c r="AB80" s="31"/>
      <c r="AC80" s="472"/>
      <c r="AD80" s="465"/>
      <c r="AE80" s="43"/>
      <c r="AF80" s="42"/>
      <c r="AG80" s="41"/>
      <c r="AH80" s="32"/>
      <c r="AI80" s="31"/>
      <c r="AJ80" s="472"/>
      <c r="AK80" s="465"/>
      <c r="AL80" s="43"/>
      <c r="AM80" s="42"/>
      <c r="AN80" s="41"/>
      <c r="AO80" s="32"/>
      <c r="AP80" s="31"/>
      <c r="AQ80" s="4">
        <f t="shared" si="24"/>
        <v>0</v>
      </c>
    </row>
    <row r="81" spans="1:43" ht="14.25" hidden="1" customHeight="1" x14ac:dyDescent="0.2">
      <c r="A81" s="488"/>
      <c r="B81" s="465"/>
      <c r="C81" s="43"/>
      <c r="D81" s="31"/>
      <c r="E81" s="45"/>
      <c r="F81" s="32"/>
      <c r="G81" s="31"/>
      <c r="H81" s="488"/>
      <c r="I81" s="465"/>
      <c r="J81" s="44"/>
      <c r="K81" s="31"/>
      <c r="L81" s="41"/>
      <c r="M81" s="32"/>
      <c r="N81" s="42"/>
      <c r="O81" s="512"/>
      <c r="P81" s="464"/>
      <c r="Q81" s="207"/>
      <c r="R81" s="31"/>
      <c r="S81" s="41"/>
      <c r="T81" s="32"/>
      <c r="U81" s="71"/>
      <c r="V81" s="472"/>
      <c r="W81" s="465"/>
      <c r="X81" s="44"/>
      <c r="Y81" s="31"/>
      <c r="Z81" s="41"/>
      <c r="AA81" s="32"/>
      <c r="AB81" s="31"/>
      <c r="AC81" s="472"/>
      <c r="AD81" s="465"/>
      <c r="AE81" s="43"/>
      <c r="AF81" s="42"/>
      <c r="AG81" s="41"/>
      <c r="AH81" s="32"/>
      <c r="AI81" s="31"/>
      <c r="AJ81" s="472"/>
      <c r="AK81" s="465"/>
      <c r="AL81" s="43"/>
      <c r="AM81" s="42"/>
      <c r="AN81" s="41"/>
      <c r="AO81" s="32"/>
      <c r="AP81" s="31"/>
      <c r="AQ81" s="4">
        <f t="shared" si="24"/>
        <v>0</v>
      </c>
    </row>
    <row r="82" spans="1:43" ht="14.25" hidden="1" customHeight="1" x14ac:dyDescent="0.2">
      <c r="A82" s="488"/>
      <c r="B82" s="465"/>
      <c r="C82" s="43"/>
      <c r="D82" s="31"/>
      <c r="E82" s="45"/>
      <c r="F82" s="32"/>
      <c r="G82" s="31"/>
      <c r="H82" s="488"/>
      <c r="I82" s="465"/>
      <c r="J82" s="44"/>
      <c r="K82" s="31"/>
      <c r="L82" s="41"/>
      <c r="M82" s="32"/>
      <c r="N82" s="42"/>
      <c r="O82" s="512"/>
      <c r="P82" s="464"/>
      <c r="Q82" s="207"/>
      <c r="R82" s="31"/>
      <c r="S82" s="41"/>
      <c r="T82" s="32"/>
      <c r="U82" s="71"/>
      <c r="V82" s="472"/>
      <c r="W82" s="465"/>
      <c r="X82" s="44"/>
      <c r="Y82" s="31"/>
      <c r="Z82" s="41"/>
      <c r="AA82" s="32"/>
      <c r="AB82" s="31"/>
      <c r="AC82" s="472"/>
      <c r="AD82" s="465"/>
      <c r="AE82" s="43"/>
      <c r="AF82" s="42"/>
      <c r="AG82" s="41"/>
      <c r="AH82" s="32"/>
      <c r="AI82" s="31"/>
      <c r="AJ82" s="472"/>
      <c r="AK82" s="465"/>
      <c r="AL82" s="43"/>
      <c r="AM82" s="42"/>
      <c r="AN82" s="41"/>
      <c r="AO82" s="32"/>
      <c r="AP82" s="31"/>
      <c r="AQ82" s="4">
        <f t="shared" si="24"/>
        <v>0</v>
      </c>
    </row>
    <row r="83" spans="1:43" ht="14.25" hidden="1" customHeight="1" x14ac:dyDescent="0.2">
      <c r="A83" s="488"/>
      <c r="B83" s="465"/>
      <c r="C83" s="43"/>
      <c r="D83" s="31"/>
      <c r="E83" s="45"/>
      <c r="F83" s="32"/>
      <c r="G83" s="31"/>
      <c r="H83" s="488"/>
      <c r="I83" s="465"/>
      <c r="J83" s="44"/>
      <c r="K83" s="31"/>
      <c r="L83" s="41"/>
      <c r="M83" s="32"/>
      <c r="N83" s="42"/>
      <c r="O83" s="512"/>
      <c r="P83" s="464"/>
      <c r="Q83" s="207"/>
      <c r="R83" s="31"/>
      <c r="S83" s="41"/>
      <c r="T83" s="32"/>
      <c r="U83" s="71"/>
      <c r="V83" s="472"/>
      <c r="W83" s="465"/>
      <c r="X83" s="44"/>
      <c r="Y83" s="31"/>
      <c r="Z83" s="41"/>
      <c r="AA83" s="32"/>
      <c r="AB83" s="31"/>
      <c r="AC83" s="472"/>
      <c r="AD83" s="465"/>
      <c r="AE83" s="43"/>
      <c r="AF83" s="42"/>
      <c r="AG83" s="41"/>
      <c r="AH83" s="32"/>
      <c r="AI83" s="31"/>
      <c r="AJ83" s="472"/>
      <c r="AK83" s="465"/>
      <c r="AL83" s="43"/>
      <c r="AM83" s="42"/>
      <c r="AN83" s="41"/>
      <c r="AO83" s="32"/>
      <c r="AP83" s="31"/>
      <c r="AQ83" s="4">
        <f t="shared" si="24"/>
        <v>0</v>
      </c>
    </row>
    <row r="84" spans="1:43" ht="14.25" hidden="1" customHeight="1" x14ac:dyDescent="0.2">
      <c r="A84" s="488"/>
      <c r="B84" s="465"/>
      <c r="C84" s="43"/>
      <c r="D84" s="31"/>
      <c r="E84" s="45"/>
      <c r="F84" s="32"/>
      <c r="G84" s="31"/>
      <c r="H84" s="488"/>
      <c r="I84" s="465"/>
      <c r="J84" s="44"/>
      <c r="K84" s="31"/>
      <c r="L84" s="41"/>
      <c r="M84" s="32"/>
      <c r="N84" s="42"/>
      <c r="O84" s="512"/>
      <c r="P84" s="464"/>
      <c r="Q84" s="207"/>
      <c r="R84" s="31"/>
      <c r="S84" s="41"/>
      <c r="T84" s="32"/>
      <c r="U84" s="71"/>
      <c r="V84" s="472"/>
      <c r="W84" s="465"/>
      <c r="X84" s="44"/>
      <c r="Y84" s="31"/>
      <c r="Z84" s="41"/>
      <c r="AA84" s="32"/>
      <c r="AB84" s="31"/>
      <c r="AC84" s="472"/>
      <c r="AD84" s="465"/>
      <c r="AE84" s="43"/>
      <c r="AF84" s="42"/>
      <c r="AG84" s="41"/>
      <c r="AH84" s="32"/>
      <c r="AI84" s="31"/>
      <c r="AJ84" s="472"/>
      <c r="AK84" s="465"/>
      <c r="AL84" s="43"/>
      <c r="AM84" s="42"/>
      <c r="AN84" s="41"/>
      <c r="AO84" s="32"/>
      <c r="AP84" s="31"/>
      <c r="AQ84" s="4">
        <f t="shared" si="24"/>
        <v>0</v>
      </c>
    </row>
    <row r="85" spans="1:43" ht="14.25" hidden="1" customHeight="1" x14ac:dyDescent="0.2">
      <c r="A85" s="488"/>
      <c r="B85" s="465"/>
      <c r="C85" s="43"/>
      <c r="D85" s="31"/>
      <c r="E85" s="45"/>
      <c r="F85" s="32"/>
      <c r="G85" s="31"/>
      <c r="H85" s="488"/>
      <c r="I85" s="465"/>
      <c r="J85" s="44"/>
      <c r="K85" s="31"/>
      <c r="L85" s="41"/>
      <c r="M85" s="32"/>
      <c r="N85" s="42"/>
      <c r="O85" s="512"/>
      <c r="P85" s="464"/>
      <c r="Q85" s="207"/>
      <c r="R85" s="31"/>
      <c r="S85" s="41"/>
      <c r="T85" s="32"/>
      <c r="U85" s="71"/>
      <c r="V85" s="472"/>
      <c r="W85" s="465"/>
      <c r="X85" s="44"/>
      <c r="Y85" s="31"/>
      <c r="Z85" s="41"/>
      <c r="AA85" s="32"/>
      <c r="AB85" s="31"/>
      <c r="AC85" s="472"/>
      <c r="AD85" s="465"/>
      <c r="AE85" s="43"/>
      <c r="AF85" s="42"/>
      <c r="AG85" s="41"/>
      <c r="AH85" s="32"/>
      <c r="AI85" s="31"/>
      <c r="AJ85" s="472"/>
      <c r="AK85" s="465"/>
      <c r="AL85" s="43"/>
      <c r="AM85" s="42"/>
      <c r="AN85" s="41"/>
      <c r="AO85" s="32"/>
      <c r="AP85" s="31"/>
      <c r="AQ85" s="4">
        <f t="shared" si="24"/>
        <v>0</v>
      </c>
    </row>
    <row r="86" spans="1:43" ht="14.25" hidden="1" customHeight="1" x14ac:dyDescent="0.2">
      <c r="A86" s="488"/>
      <c r="B86" s="465"/>
      <c r="C86" s="43"/>
      <c r="D86" s="31"/>
      <c r="E86" s="45"/>
      <c r="F86" s="32"/>
      <c r="G86" s="31"/>
      <c r="H86" s="488"/>
      <c r="I86" s="465"/>
      <c r="J86" s="44"/>
      <c r="K86" s="31"/>
      <c r="L86" s="41"/>
      <c r="M86" s="32"/>
      <c r="N86" s="42"/>
      <c r="O86" s="512"/>
      <c r="P86" s="464"/>
      <c r="Q86" s="207"/>
      <c r="R86" s="31"/>
      <c r="S86" s="41"/>
      <c r="T86" s="32"/>
      <c r="U86" s="71"/>
      <c r="V86" s="472"/>
      <c r="W86" s="465"/>
      <c r="X86" s="44"/>
      <c r="Y86" s="31"/>
      <c r="Z86" s="41"/>
      <c r="AA86" s="32"/>
      <c r="AB86" s="31"/>
      <c r="AC86" s="472"/>
      <c r="AD86" s="465"/>
      <c r="AE86" s="43"/>
      <c r="AF86" s="42"/>
      <c r="AG86" s="41"/>
      <c r="AH86" s="32"/>
      <c r="AI86" s="31"/>
      <c r="AJ86" s="472"/>
      <c r="AK86" s="465"/>
      <c r="AL86" s="43"/>
      <c r="AM86" s="42"/>
      <c r="AN86" s="41"/>
      <c r="AO86" s="32"/>
      <c r="AP86" s="31"/>
      <c r="AQ86" s="4">
        <f t="shared" si="24"/>
        <v>0</v>
      </c>
    </row>
    <row r="87" spans="1:43" ht="14.25" hidden="1" customHeight="1" x14ac:dyDescent="0.2">
      <c r="A87" s="488"/>
      <c r="B87" s="465"/>
      <c r="C87" s="43"/>
      <c r="D87" s="31"/>
      <c r="E87" s="45"/>
      <c r="F87" s="32"/>
      <c r="G87" s="31"/>
      <c r="H87" s="488"/>
      <c r="I87" s="465"/>
      <c r="J87" s="44"/>
      <c r="K87" s="31"/>
      <c r="L87" s="41"/>
      <c r="M87" s="32"/>
      <c r="N87" s="42"/>
      <c r="O87" s="512"/>
      <c r="P87" s="464"/>
      <c r="Q87" s="207"/>
      <c r="R87" s="31"/>
      <c r="S87" s="41"/>
      <c r="T87" s="32"/>
      <c r="U87" s="71"/>
      <c r="V87" s="472"/>
      <c r="W87" s="465"/>
      <c r="X87" s="44"/>
      <c r="Y87" s="31"/>
      <c r="Z87" s="41"/>
      <c r="AA87" s="32"/>
      <c r="AB87" s="31"/>
      <c r="AC87" s="472"/>
      <c r="AD87" s="465"/>
      <c r="AE87" s="43"/>
      <c r="AF87" s="42"/>
      <c r="AG87" s="41"/>
      <c r="AH87" s="32"/>
      <c r="AI87" s="31"/>
      <c r="AJ87" s="472"/>
      <c r="AK87" s="465"/>
      <c r="AL87" s="43"/>
      <c r="AM87" s="42"/>
      <c r="AN87" s="41"/>
      <c r="AO87" s="32"/>
      <c r="AP87" s="31"/>
      <c r="AQ87" s="4">
        <f t="shared" si="24"/>
        <v>0</v>
      </c>
    </row>
    <row r="88" spans="1:43" ht="15" hidden="1" thickBot="1" x14ac:dyDescent="0.25">
      <c r="A88" s="488"/>
      <c r="B88" s="464"/>
      <c r="C88" s="38"/>
      <c r="D88" s="38"/>
      <c r="E88" s="40">
        <v>49</v>
      </c>
      <c r="F88" s="39">
        <v>22262958.999999996</v>
      </c>
      <c r="G88" s="38"/>
      <c r="H88" s="488"/>
      <c r="I88" s="464"/>
      <c r="J88" s="9"/>
      <c r="K88" s="31"/>
      <c r="L88" s="37">
        <f>SUM(L66:L87)</f>
        <v>23.112255406797122</v>
      </c>
      <c r="M88" s="32">
        <f>SUM(M66:M87)</f>
        <v>10500963.153450051</v>
      </c>
      <c r="N88" s="42"/>
      <c r="O88" s="512"/>
      <c r="P88" s="464"/>
      <c r="Q88" s="254"/>
      <c r="R88" s="14"/>
      <c r="S88" s="251">
        <f>SUM(S66:S87)</f>
        <v>0.10092687950566429</v>
      </c>
      <c r="T88" s="19">
        <f>SUM(T66:T87)</f>
        <v>45855.734294541711</v>
      </c>
      <c r="U88" s="219"/>
      <c r="V88" s="472"/>
      <c r="W88" s="464"/>
      <c r="X88" s="9"/>
      <c r="Y88" s="31"/>
      <c r="Z88" s="37">
        <f>SUM(Z66:Z87)</f>
        <v>21.951596292481984</v>
      </c>
      <c r="AA88" s="32">
        <f>SUM(AA66:AA87)</f>
        <v>9973622.2090628222</v>
      </c>
      <c r="AB88" s="31"/>
      <c r="AC88" s="472"/>
      <c r="AD88" s="464"/>
      <c r="AE88" s="38"/>
      <c r="AF88" s="9"/>
      <c r="AG88" s="37">
        <f>SUM(AG66:AG87)</f>
        <v>0.10092687950566429</v>
      </c>
      <c r="AH88" s="32">
        <f>SUM(AH66:AH87)</f>
        <v>45855.734294541711</v>
      </c>
      <c r="AI88" s="31"/>
      <c r="AJ88" s="472"/>
      <c r="AK88" s="464"/>
      <c r="AL88" s="38"/>
      <c r="AM88" s="9"/>
      <c r="AN88" s="37">
        <f>SUM(AN66:AN87)</f>
        <v>3.7342945417095783</v>
      </c>
      <c r="AO88" s="32">
        <f>SUM(AO66:AO87)</f>
        <v>1696662.1688980432</v>
      </c>
      <c r="AP88" s="31"/>
      <c r="AQ88" s="4">
        <f t="shared" si="24"/>
        <v>-1.1990408665951691E-14</v>
      </c>
    </row>
    <row r="89" spans="1:43" ht="15" thickBot="1" x14ac:dyDescent="0.25">
      <c r="A89" s="488"/>
      <c r="B89" s="464"/>
      <c r="C89" s="468" t="s">
        <v>36</v>
      </c>
      <c r="D89" s="468"/>
      <c r="E89" s="468"/>
      <c r="F89" s="468"/>
      <c r="G89" s="469"/>
      <c r="H89" s="488"/>
      <c r="I89" s="464"/>
      <c r="J89" s="468" t="s">
        <v>36</v>
      </c>
      <c r="K89" s="471"/>
      <c r="L89" s="471"/>
      <c r="M89" s="471"/>
      <c r="N89" s="471"/>
      <c r="O89" s="512"/>
      <c r="P89" s="464"/>
      <c r="Q89" s="503" t="s">
        <v>36</v>
      </c>
      <c r="R89" s="504"/>
      <c r="S89" s="504"/>
      <c r="T89" s="504"/>
      <c r="U89" s="505"/>
      <c r="V89" s="472"/>
      <c r="W89" s="464"/>
      <c r="X89" s="468" t="s">
        <v>36</v>
      </c>
      <c r="Y89" s="471"/>
      <c r="Z89" s="471"/>
      <c r="AA89" s="471"/>
      <c r="AB89" s="472"/>
      <c r="AC89" s="488"/>
      <c r="AD89" s="464"/>
      <c r="AE89" s="468" t="s">
        <v>36</v>
      </c>
      <c r="AF89" s="468"/>
      <c r="AG89" s="471"/>
      <c r="AH89" s="471"/>
      <c r="AI89" s="472"/>
      <c r="AJ89" s="488"/>
      <c r="AK89" s="464"/>
      <c r="AL89" s="468" t="s">
        <v>36</v>
      </c>
      <c r="AM89" s="468"/>
      <c r="AN89" s="471"/>
      <c r="AO89" s="471"/>
      <c r="AP89" s="472"/>
      <c r="AQ89" s="4">
        <f t="shared" si="24"/>
        <v>0</v>
      </c>
    </row>
    <row r="90" spans="1:43" ht="25.5" x14ac:dyDescent="0.2">
      <c r="A90" s="488"/>
      <c r="B90" s="465"/>
      <c r="C90" s="34" t="s">
        <v>35</v>
      </c>
      <c r="D90" s="31" t="s">
        <v>12</v>
      </c>
      <c r="E90" s="32">
        <v>1</v>
      </c>
      <c r="F90" s="32">
        <v>50000</v>
      </c>
      <c r="G90" s="31">
        <f t="shared" ref="G90:G117" si="25">E90/F90</f>
        <v>2.0000000000000002E-5</v>
      </c>
      <c r="H90" s="488"/>
      <c r="I90" s="465"/>
      <c r="J90" s="34" t="s">
        <v>35</v>
      </c>
      <c r="K90" s="31" t="s">
        <v>12</v>
      </c>
      <c r="L90" s="13">
        <f>$G$90*M90-0.1</f>
        <v>0.37167868480617539</v>
      </c>
      <c r="M90" s="12">
        <f t="shared" ref="M90:M112" si="26">$N$123/($F$118-558160)*F90</f>
        <v>23583.934240308768</v>
      </c>
      <c r="N90" s="42"/>
      <c r="O90" s="512"/>
      <c r="P90" s="464"/>
      <c r="Q90" s="255" t="s">
        <v>35</v>
      </c>
      <c r="R90" s="128" t="s">
        <v>12</v>
      </c>
      <c r="S90" s="243">
        <f>$G$90*T90+0.1</f>
        <v>0.10205973357432295</v>
      </c>
      <c r="T90" s="244">
        <f t="shared" ref="T90:T112" si="27">$U$123/($F$118-558160)*F90</f>
        <v>102.98667871614751</v>
      </c>
      <c r="U90" s="340" t="s">
        <v>150</v>
      </c>
      <c r="V90" s="472"/>
      <c r="W90" s="465"/>
      <c r="X90" s="34" t="s">
        <v>35</v>
      </c>
      <c r="Y90" s="31" t="s">
        <v>12</v>
      </c>
      <c r="Z90" s="13">
        <f>$G$90*AA90-0.1</f>
        <v>0.34799176468639736</v>
      </c>
      <c r="AA90" s="20">
        <f t="shared" ref="AA90:AA112" si="28">$AB$123/($F$118-558160)*F90</f>
        <v>22399.588234319865</v>
      </c>
      <c r="AB90" s="31"/>
      <c r="AC90" s="488"/>
      <c r="AD90" s="465"/>
      <c r="AE90" s="34" t="s">
        <v>35</v>
      </c>
      <c r="AF90" s="31" t="s">
        <v>12</v>
      </c>
      <c r="AG90" s="13">
        <f>$G$90*AH90+0.1</f>
        <v>0.10205973357432295</v>
      </c>
      <c r="AH90" s="12">
        <f t="shared" ref="AH90:AH112" si="29">$AI$123/($F$118-558160)*F90</f>
        <v>102.98667871614751</v>
      </c>
      <c r="AI90" s="31"/>
      <c r="AJ90" s="488"/>
      <c r="AK90" s="465"/>
      <c r="AL90" s="34" t="s">
        <v>35</v>
      </c>
      <c r="AM90" s="31" t="s">
        <v>12</v>
      </c>
      <c r="AN90" s="13">
        <f>$G$90*AO90</f>
        <v>7.6210092769164794E-2</v>
      </c>
      <c r="AO90" s="12">
        <f t="shared" ref="AO90:AO112" si="30">$AP$122/($F$118-558160)*F90</f>
        <v>3810.5046384582392</v>
      </c>
      <c r="AP90" s="31"/>
      <c r="AQ90" s="4">
        <f t="shared" si="24"/>
        <v>-9.4103834585856916E-9</v>
      </c>
    </row>
    <row r="91" spans="1:43" ht="25.5" x14ac:dyDescent="0.2">
      <c r="A91" s="488"/>
      <c r="B91" s="465"/>
      <c r="C91" s="34" t="s">
        <v>34</v>
      </c>
      <c r="D91" s="31" t="s">
        <v>12</v>
      </c>
      <c r="E91" s="32">
        <v>1</v>
      </c>
      <c r="F91" s="32">
        <v>9126.25</v>
      </c>
      <c r="G91" s="31">
        <f t="shared" si="25"/>
        <v>1.0957403095466375E-4</v>
      </c>
      <c r="H91" s="488"/>
      <c r="I91" s="465"/>
      <c r="J91" s="34" t="s">
        <v>34</v>
      </c>
      <c r="K91" s="31" t="s">
        <v>12</v>
      </c>
      <c r="L91" s="13">
        <f>$G$91*M91-0.1</f>
        <v>0.37167868480617539</v>
      </c>
      <c r="M91" s="12">
        <f t="shared" si="26"/>
        <v>4304.6575972123583</v>
      </c>
      <c r="N91" s="42"/>
      <c r="O91" s="512"/>
      <c r="P91" s="464"/>
      <c r="Q91" s="209" t="s">
        <v>34</v>
      </c>
      <c r="R91" s="31" t="s">
        <v>12</v>
      </c>
      <c r="S91" s="13">
        <f>$G$91*T91+0.1</f>
        <v>0.10205973357432295</v>
      </c>
      <c r="T91" s="12">
        <f t="shared" si="27"/>
        <v>18.797643532664825</v>
      </c>
      <c r="U91" s="71" t="s">
        <v>150</v>
      </c>
      <c r="V91" s="472"/>
      <c r="W91" s="465"/>
      <c r="X91" s="34" t="s">
        <v>34</v>
      </c>
      <c r="Y91" s="31" t="s">
        <v>12</v>
      </c>
      <c r="Z91" s="13">
        <f>$G$91*AA91-0.1</f>
        <v>0.34799176468639725</v>
      </c>
      <c r="AA91" s="20">
        <f t="shared" si="28"/>
        <v>4088.4848424692332</v>
      </c>
      <c r="AB91" s="31"/>
      <c r="AC91" s="488"/>
      <c r="AD91" s="465"/>
      <c r="AE91" s="34" t="s">
        <v>34</v>
      </c>
      <c r="AF91" s="31" t="s">
        <v>12</v>
      </c>
      <c r="AG91" s="13">
        <f>$G$91*AH91+0.1</f>
        <v>0.10205973357432295</v>
      </c>
      <c r="AH91" s="12">
        <f t="shared" si="29"/>
        <v>18.797643532664825</v>
      </c>
      <c r="AI91" s="31"/>
      <c r="AJ91" s="488"/>
      <c r="AK91" s="465"/>
      <c r="AL91" s="34" t="s">
        <v>34</v>
      </c>
      <c r="AM91" s="31" t="s">
        <v>12</v>
      </c>
      <c r="AN91" s="13">
        <f>$G$91*AO91</f>
        <v>7.6210092769164781E-2</v>
      </c>
      <c r="AO91" s="12">
        <f t="shared" si="30"/>
        <v>695.51235913459004</v>
      </c>
      <c r="AP91" s="31"/>
      <c r="AQ91" s="4">
        <f t="shared" si="24"/>
        <v>-9.4103833336856013E-9</v>
      </c>
    </row>
    <row r="92" spans="1:43" x14ac:dyDescent="0.2">
      <c r="A92" s="488"/>
      <c r="B92" s="465"/>
      <c r="C92" s="34" t="s">
        <v>33</v>
      </c>
      <c r="D92" s="31" t="s">
        <v>12</v>
      </c>
      <c r="E92" s="32">
        <v>1</v>
      </c>
      <c r="F92" s="32">
        <v>33053.599999999999</v>
      </c>
      <c r="G92" s="35">
        <f t="shared" si="25"/>
        <v>3.0253890650337634E-5</v>
      </c>
      <c r="H92" s="488"/>
      <c r="I92" s="465"/>
      <c r="J92" s="34" t="s">
        <v>33</v>
      </c>
      <c r="K92" s="31" t="s">
        <v>12</v>
      </c>
      <c r="L92" s="13">
        <f>$G$92*M92-0.1</f>
        <v>0.37167868480617539</v>
      </c>
      <c r="M92" s="12">
        <f t="shared" si="26"/>
        <v>15590.678576109398</v>
      </c>
      <c r="N92" s="42"/>
      <c r="O92" s="512"/>
      <c r="P92" s="464"/>
      <c r="Q92" s="209" t="s">
        <v>33</v>
      </c>
      <c r="R92" s="31" t="s">
        <v>12</v>
      </c>
      <c r="S92" s="13">
        <f>$G$92*T92+0.1</f>
        <v>0.10205973357432295</v>
      </c>
      <c r="T92" s="12">
        <f t="shared" si="27"/>
        <v>68.081609672241058</v>
      </c>
      <c r="U92" s="71" t="s">
        <v>150</v>
      </c>
      <c r="V92" s="472"/>
      <c r="W92" s="465"/>
      <c r="X92" s="34" t="s">
        <v>33</v>
      </c>
      <c r="Y92" s="31" t="s">
        <v>12</v>
      </c>
      <c r="Z92" s="13">
        <f>$G$92*AA92-0.1</f>
        <v>0.34799176468639725</v>
      </c>
      <c r="AA92" s="20">
        <f t="shared" si="28"/>
        <v>14807.740593238301</v>
      </c>
      <c r="AB92" s="31"/>
      <c r="AC92" s="488"/>
      <c r="AD92" s="465"/>
      <c r="AE92" s="34" t="s">
        <v>33</v>
      </c>
      <c r="AF92" s="31" t="s">
        <v>12</v>
      </c>
      <c r="AG92" s="13">
        <f>$G$92*AH92+0.1</f>
        <v>0.10205973357432295</v>
      </c>
      <c r="AH92" s="12">
        <f t="shared" si="29"/>
        <v>68.081609672241058</v>
      </c>
      <c r="AI92" s="31"/>
      <c r="AJ92" s="488"/>
      <c r="AK92" s="465"/>
      <c r="AL92" s="34" t="s">
        <v>33</v>
      </c>
      <c r="AM92" s="31" t="s">
        <v>12</v>
      </c>
      <c r="AN92" s="13">
        <f>$G$92*AO92</f>
        <v>7.6210092769164781E-2</v>
      </c>
      <c r="AO92" s="12">
        <f t="shared" si="30"/>
        <v>2519.0179223548648</v>
      </c>
      <c r="AP92" s="31"/>
      <c r="AQ92" s="4">
        <f t="shared" si="24"/>
        <v>-9.4103833336856013E-9</v>
      </c>
    </row>
    <row r="93" spans="1:43" x14ac:dyDescent="0.2">
      <c r="A93" s="488"/>
      <c r="B93" s="465"/>
      <c r="C93" s="34" t="s">
        <v>32</v>
      </c>
      <c r="D93" s="31" t="s">
        <v>12</v>
      </c>
      <c r="E93" s="32">
        <v>1</v>
      </c>
      <c r="F93" s="32">
        <v>5736.5</v>
      </c>
      <c r="G93" s="35">
        <f t="shared" si="25"/>
        <v>1.743223219733287E-4</v>
      </c>
      <c r="H93" s="488"/>
      <c r="I93" s="465"/>
      <c r="J93" s="34" t="s">
        <v>32</v>
      </c>
      <c r="K93" s="31" t="s">
        <v>12</v>
      </c>
      <c r="L93" s="13">
        <f>$G$93*M93-0.1</f>
        <v>0.37167868480617539</v>
      </c>
      <c r="M93" s="12">
        <f t="shared" si="26"/>
        <v>2705.7847753906249</v>
      </c>
      <c r="N93" s="42"/>
      <c r="O93" s="512"/>
      <c r="P93" s="464"/>
      <c r="Q93" s="209" t="s">
        <v>32</v>
      </c>
      <c r="R93" s="31" t="s">
        <v>12</v>
      </c>
      <c r="S93" s="13">
        <f>$G$93*T93+0.1</f>
        <v>0.10205973357432295</v>
      </c>
      <c r="T93" s="12">
        <f t="shared" si="27"/>
        <v>11.815661649103603</v>
      </c>
      <c r="U93" s="71" t="s">
        <v>150</v>
      </c>
      <c r="V93" s="472"/>
      <c r="W93" s="465"/>
      <c r="X93" s="34" t="s">
        <v>32</v>
      </c>
      <c r="Y93" s="31" t="s">
        <v>12</v>
      </c>
      <c r="Z93" s="13">
        <f>$G$93*AA93-0.1</f>
        <v>0.34799176468639736</v>
      </c>
      <c r="AA93" s="20">
        <f t="shared" si="28"/>
        <v>2569.9047581235181</v>
      </c>
      <c r="AB93" s="31"/>
      <c r="AC93" s="488"/>
      <c r="AD93" s="465"/>
      <c r="AE93" s="34" t="s">
        <v>32</v>
      </c>
      <c r="AF93" s="31" t="s">
        <v>12</v>
      </c>
      <c r="AG93" s="13">
        <f>$G$93*AH93+0.1</f>
        <v>0.10205973357432295</v>
      </c>
      <c r="AH93" s="12">
        <f t="shared" si="29"/>
        <v>11.815661649103603</v>
      </c>
      <c r="AI93" s="31"/>
      <c r="AJ93" s="488"/>
      <c r="AK93" s="465"/>
      <c r="AL93" s="34" t="s">
        <v>32</v>
      </c>
      <c r="AM93" s="31" t="s">
        <v>12</v>
      </c>
      <c r="AN93" s="13">
        <f>$G$93*AO93</f>
        <v>7.6210092769164794E-2</v>
      </c>
      <c r="AO93" s="12">
        <f t="shared" si="30"/>
        <v>437.17919717031378</v>
      </c>
      <c r="AP93" s="31"/>
      <c r="AQ93" s="4">
        <f t="shared" si="24"/>
        <v>-9.4103834585856916E-9</v>
      </c>
    </row>
    <row r="94" spans="1:43" ht="25.5" x14ac:dyDescent="0.2">
      <c r="A94" s="488"/>
      <c r="B94" s="465"/>
      <c r="C94" s="34" t="s">
        <v>31</v>
      </c>
      <c r="D94" s="31" t="s">
        <v>12</v>
      </c>
      <c r="E94" s="32">
        <v>1</v>
      </c>
      <c r="F94" s="32">
        <v>62315</v>
      </c>
      <c r="G94" s="35">
        <f t="shared" si="25"/>
        <v>1.6047500601781271E-5</v>
      </c>
      <c r="H94" s="488"/>
      <c r="I94" s="465"/>
      <c r="J94" s="34" t="s">
        <v>31</v>
      </c>
      <c r="K94" s="31" t="s">
        <v>12</v>
      </c>
      <c r="L94" s="13">
        <f>$G$94*M94-0.1</f>
        <v>0.37167868480617527</v>
      </c>
      <c r="M94" s="12">
        <f t="shared" si="26"/>
        <v>29392.657243696816</v>
      </c>
      <c r="N94" s="42"/>
      <c r="O94" s="512"/>
      <c r="P94" s="464"/>
      <c r="Q94" s="209" t="s">
        <v>31</v>
      </c>
      <c r="R94" s="31" t="s">
        <v>12</v>
      </c>
      <c r="S94" s="13">
        <f>$G$94*T94+0.1</f>
        <v>0.10205973357432295</v>
      </c>
      <c r="T94" s="12">
        <f t="shared" si="27"/>
        <v>128.35229768393464</v>
      </c>
      <c r="U94" s="71" t="s">
        <v>150</v>
      </c>
      <c r="V94" s="472"/>
      <c r="W94" s="465"/>
      <c r="X94" s="34" t="s">
        <v>31</v>
      </c>
      <c r="Y94" s="31" t="s">
        <v>12</v>
      </c>
      <c r="Z94" s="13">
        <f>$G$94*AA94-0.1</f>
        <v>0.34799176468639725</v>
      </c>
      <c r="AA94" s="20">
        <f t="shared" si="28"/>
        <v>27916.606816432846</v>
      </c>
      <c r="AB94" s="31"/>
      <c r="AC94" s="488"/>
      <c r="AD94" s="465"/>
      <c r="AE94" s="34" t="s">
        <v>31</v>
      </c>
      <c r="AF94" s="31" t="s">
        <v>12</v>
      </c>
      <c r="AG94" s="13">
        <f>$G$94*AH94+0.1</f>
        <v>0.10205973357432295</v>
      </c>
      <c r="AH94" s="12">
        <f t="shared" si="29"/>
        <v>128.35229768393464</v>
      </c>
      <c r="AI94" s="31"/>
      <c r="AJ94" s="488"/>
      <c r="AK94" s="465"/>
      <c r="AL94" s="34" t="s">
        <v>31</v>
      </c>
      <c r="AM94" s="31" t="s">
        <v>12</v>
      </c>
      <c r="AN94" s="13">
        <f>$G$94*AO94</f>
        <v>7.6210092769164781E-2</v>
      </c>
      <c r="AO94" s="12">
        <f t="shared" si="30"/>
        <v>4749.0319309105034</v>
      </c>
      <c r="AP94" s="31"/>
      <c r="AQ94" s="4">
        <f t="shared" si="24"/>
        <v>-9.4103832226632989E-9</v>
      </c>
    </row>
    <row r="95" spans="1:43" ht="25.5" x14ac:dyDescent="0.2">
      <c r="A95" s="488"/>
      <c r="B95" s="465"/>
      <c r="C95" s="34" t="s">
        <v>30</v>
      </c>
      <c r="D95" s="31" t="s">
        <v>12</v>
      </c>
      <c r="E95" s="32">
        <v>1</v>
      </c>
      <c r="F95" s="32">
        <v>68806.719999999987</v>
      </c>
      <c r="G95" s="35">
        <f t="shared" si="25"/>
        <v>1.45334641732668E-5</v>
      </c>
      <c r="H95" s="488"/>
      <c r="I95" s="465"/>
      <c r="J95" s="34" t="s">
        <v>30</v>
      </c>
      <c r="K95" s="31" t="s">
        <v>12</v>
      </c>
      <c r="L95" s="13">
        <f>$G$95*M95-0.1</f>
        <v>0.37167868480617539</v>
      </c>
      <c r="M95" s="12">
        <f t="shared" si="26"/>
        <v>32454.663195426758</v>
      </c>
      <c r="N95" s="42"/>
      <c r="O95" s="512"/>
      <c r="P95" s="464"/>
      <c r="Q95" s="209" t="s">
        <v>30</v>
      </c>
      <c r="R95" s="31" t="s">
        <v>12</v>
      </c>
      <c r="S95" s="13">
        <f>$G$95*T95+0.1</f>
        <v>0.10205973357432295</v>
      </c>
      <c r="T95" s="12">
        <f t="shared" si="27"/>
        <v>141.72351132303839</v>
      </c>
      <c r="U95" s="71" t="s">
        <v>150</v>
      </c>
      <c r="V95" s="472"/>
      <c r="W95" s="465"/>
      <c r="X95" s="34" t="s">
        <v>30</v>
      </c>
      <c r="Y95" s="31" t="s">
        <v>12</v>
      </c>
      <c r="Z95" s="13">
        <f>$G$95*AA95-0.1</f>
        <v>0.34799176468639725</v>
      </c>
      <c r="AA95" s="20">
        <f t="shared" si="28"/>
        <v>30824.84391508282</v>
      </c>
      <c r="AB95" s="31"/>
      <c r="AC95" s="488"/>
      <c r="AD95" s="465"/>
      <c r="AE95" s="34" t="s">
        <v>30</v>
      </c>
      <c r="AF95" s="31" t="s">
        <v>12</v>
      </c>
      <c r="AG95" s="13">
        <f>$G$95*AH95+0.1</f>
        <v>0.10205973357432295</v>
      </c>
      <c r="AH95" s="12">
        <f t="shared" si="29"/>
        <v>141.72351132303839</v>
      </c>
      <c r="AI95" s="31"/>
      <c r="AJ95" s="488"/>
      <c r="AK95" s="465"/>
      <c r="AL95" s="34" t="s">
        <v>30</v>
      </c>
      <c r="AM95" s="31" t="s">
        <v>12</v>
      </c>
      <c r="AN95" s="13">
        <f>$G$95*AO95</f>
        <v>7.6210092769164781E-2</v>
      </c>
      <c r="AO95" s="12">
        <f t="shared" si="30"/>
        <v>5243.7665143419445</v>
      </c>
      <c r="AP95" s="31"/>
      <c r="AQ95" s="4">
        <f t="shared" si="24"/>
        <v>-9.4103833336856013E-9</v>
      </c>
    </row>
    <row r="96" spans="1:43" ht="25.5" x14ac:dyDescent="0.2">
      <c r="A96" s="488"/>
      <c r="B96" s="465"/>
      <c r="C96" s="34" t="s">
        <v>29</v>
      </c>
      <c r="D96" s="31" t="s">
        <v>12</v>
      </c>
      <c r="E96" s="32">
        <v>1</v>
      </c>
      <c r="F96" s="32">
        <v>17716.397999999997</v>
      </c>
      <c r="G96" s="35">
        <f t="shared" si="25"/>
        <v>5.644488230621146E-5</v>
      </c>
      <c r="H96" s="488"/>
      <c r="I96" s="465"/>
      <c r="J96" s="34" t="s">
        <v>29</v>
      </c>
      <c r="K96" s="31" t="s">
        <v>12</v>
      </c>
      <c r="L96" s="13">
        <f>$G$96*M96-0.1</f>
        <v>0.37167868480617539</v>
      </c>
      <c r="M96" s="12">
        <f t="shared" si="26"/>
        <v>8356.447308142755</v>
      </c>
      <c r="N96" s="42"/>
      <c r="O96" s="512"/>
      <c r="P96" s="464"/>
      <c r="Q96" s="209" t="s">
        <v>29</v>
      </c>
      <c r="R96" s="31" t="s">
        <v>12</v>
      </c>
      <c r="S96" s="13">
        <f>$G$96*T96+0.1</f>
        <v>0.10205973357432295</v>
      </c>
      <c r="T96" s="12">
        <f t="shared" si="27"/>
        <v>36.49105977666796</v>
      </c>
      <c r="U96" s="71" t="s">
        <v>150</v>
      </c>
      <c r="V96" s="472"/>
      <c r="W96" s="465"/>
      <c r="X96" s="34" t="s">
        <v>29</v>
      </c>
      <c r="Y96" s="31" t="s">
        <v>12</v>
      </c>
      <c r="Z96" s="13">
        <f>$G$96*AA96-0.1</f>
        <v>0.34799176468639725</v>
      </c>
      <c r="AA96" s="20">
        <f t="shared" si="28"/>
        <v>7936.8004039065581</v>
      </c>
      <c r="AB96" s="31"/>
      <c r="AC96" s="488"/>
      <c r="AD96" s="465"/>
      <c r="AE96" s="34" t="s">
        <v>29</v>
      </c>
      <c r="AF96" s="31" t="s">
        <v>12</v>
      </c>
      <c r="AG96" s="13">
        <f>$G$96*AH96+0.1</f>
        <v>0.10205973357432295</v>
      </c>
      <c r="AH96" s="12">
        <f t="shared" si="29"/>
        <v>36.49105977666796</v>
      </c>
      <c r="AI96" s="31"/>
      <c r="AJ96" s="488"/>
      <c r="AK96" s="465"/>
      <c r="AL96" s="34" t="s">
        <v>29</v>
      </c>
      <c r="AM96" s="31" t="s">
        <v>12</v>
      </c>
      <c r="AN96" s="13">
        <f>$G$96*AO96</f>
        <v>7.6210092769164781E-2</v>
      </c>
      <c r="AO96" s="12">
        <f t="shared" si="30"/>
        <v>1350.1683351154452</v>
      </c>
      <c r="AP96" s="31"/>
      <c r="AQ96" s="4">
        <f t="shared" si="24"/>
        <v>-9.4103833336856013E-9</v>
      </c>
    </row>
    <row r="97" spans="1:43" x14ac:dyDescent="0.2">
      <c r="A97" s="488"/>
      <c r="B97" s="465"/>
      <c r="C97" s="34" t="s">
        <v>28</v>
      </c>
      <c r="D97" s="31" t="s">
        <v>12</v>
      </c>
      <c r="E97" s="32">
        <v>1</v>
      </c>
      <c r="F97" s="32">
        <v>40856.213474999997</v>
      </c>
      <c r="G97" s="35">
        <f t="shared" si="25"/>
        <v>2.447608123576851E-5</v>
      </c>
      <c r="H97" s="488"/>
      <c r="I97" s="465"/>
      <c r="J97" s="34" t="s">
        <v>28</v>
      </c>
      <c r="K97" s="31" t="s">
        <v>12</v>
      </c>
      <c r="L97" s="13">
        <f>$G$97*M97-0.1</f>
        <v>0.37167868480617527</v>
      </c>
      <c r="M97" s="12">
        <f t="shared" si="26"/>
        <v>19271.005038048337</v>
      </c>
      <c r="N97" s="42"/>
      <c r="O97" s="512"/>
      <c r="P97" s="464"/>
      <c r="Q97" s="209" t="s">
        <v>28</v>
      </c>
      <c r="R97" s="31" t="s">
        <v>12</v>
      </c>
      <c r="S97" s="13">
        <f>$G$97*T97+0.1</f>
        <v>0.10205973357432295</v>
      </c>
      <c r="T97" s="12">
        <f t="shared" si="27"/>
        <v>84.152914614163222</v>
      </c>
      <c r="U97" s="71" t="s">
        <v>150</v>
      </c>
      <c r="V97" s="472"/>
      <c r="W97" s="465"/>
      <c r="X97" s="34" t="s">
        <v>28</v>
      </c>
      <c r="Y97" s="31" t="s">
        <v>12</v>
      </c>
      <c r="Z97" s="13">
        <f>$G$97*AA97-0.1</f>
        <v>0.34799176468639725</v>
      </c>
      <c r="AA97" s="20">
        <f t="shared" si="28"/>
        <v>18303.247173069412</v>
      </c>
      <c r="AB97" s="31"/>
      <c r="AC97" s="488"/>
      <c r="AD97" s="465"/>
      <c r="AE97" s="34" t="s">
        <v>28</v>
      </c>
      <c r="AF97" s="31" t="s">
        <v>12</v>
      </c>
      <c r="AG97" s="13">
        <f>$G$97*AH97+0.1</f>
        <v>0.10205973357432295</v>
      </c>
      <c r="AH97" s="12">
        <f t="shared" si="29"/>
        <v>84.152914614163222</v>
      </c>
      <c r="AI97" s="31"/>
      <c r="AJ97" s="488"/>
      <c r="AK97" s="465"/>
      <c r="AL97" s="34" t="s">
        <v>28</v>
      </c>
      <c r="AM97" s="31" t="s">
        <v>12</v>
      </c>
      <c r="AN97" s="13">
        <f>$G$97*AO97</f>
        <v>7.6210092769164781E-2</v>
      </c>
      <c r="AO97" s="12">
        <f t="shared" si="30"/>
        <v>3113.6558191265499</v>
      </c>
      <c r="AP97" s="31"/>
      <c r="AQ97" s="4">
        <f t="shared" si="24"/>
        <v>-9.4103832226632989E-9</v>
      </c>
    </row>
    <row r="98" spans="1:43" ht="25.5" x14ac:dyDescent="0.2">
      <c r="A98" s="488"/>
      <c r="B98" s="465"/>
      <c r="C98" s="34" t="s">
        <v>27</v>
      </c>
      <c r="D98" s="31" t="s">
        <v>12</v>
      </c>
      <c r="E98" s="32">
        <v>1</v>
      </c>
      <c r="F98" s="32">
        <v>50000</v>
      </c>
      <c r="G98" s="31">
        <f t="shared" si="25"/>
        <v>2.0000000000000002E-5</v>
      </c>
      <c r="H98" s="488"/>
      <c r="I98" s="465"/>
      <c r="J98" s="34" t="s">
        <v>27</v>
      </c>
      <c r="K98" s="31" t="s">
        <v>12</v>
      </c>
      <c r="L98" s="13">
        <f>$G$98*M98-0.1</f>
        <v>0.37167868480617539</v>
      </c>
      <c r="M98" s="12">
        <f t="shared" si="26"/>
        <v>23583.934240308768</v>
      </c>
      <c r="N98" s="42"/>
      <c r="O98" s="512"/>
      <c r="P98" s="464"/>
      <c r="Q98" s="209" t="s">
        <v>27</v>
      </c>
      <c r="R98" s="31" t="s">
        <v>12</v>
      </c>
      <c r="S98" s="13">
        <f>$G$98*T98+0.1</f>
        <v>0.10205973357432295</v>
      </c>
      <c r="T98" s="12">
        <f t="shared" si="27"/>
        <v>102.98667871614751</v>
      </c>
      <c r="U98" s="71" t="s">
        <v>150</v>
      </c>
      <c r="V98" s="472"/>
      <c r="W98" s="465"/>
      <c r="X98" s="34" t="s">
        <v>27</v>
      </c>
      <c r="Y98" s="31" t="s">
        <v>12</v>
      </c>
      <c r="Z98" s="13">
        <f>$G$98*AA98-0.1</f>
        <v>0.34799176468639736</v>
      </c>
      <c r="AA98" s="20">
        <f t="shared" si="28"/>
        <v>22399.588234319865</v>
      </c>
      <c r="AB98" s="31"/>
      <c r="AC98" s="488"/>
      <c r="AD98" s="465"/>
      <c r="AE98" s="34" t="s">
        <v>27</v>
      </c>
      <c r="AF98" s="31" t="s">
        <v>12</v>
      </c>
      <c r="AG98" s="13">
        <f>$G$98*AH98+0.1</f>
        <v>0.10205973357432295</v>
      </c>
      <c r="AH98" s="12">
        <f t="shared" si="29"/>
        <v>102.98667871614751</v>
      </c>
      <c r="AI98" s="31"/>
      <c r="AJ98" s="488"/>
      <c r="AK98" s="465"/>
      <c r="AL98" s="34" t="s">
        <v>27</v>
      </c>
      <c r="AM98" s="31" t="s">
        <v>12</v>
      </c>
      <c r="AN98" s="13">
        <f>$G$98*AO98</f>
        <v>7.6210092769164794E-2</v>
      </c>
      <c r="AO98" s="12">
        <f t="shared" si="30"/>
        <v>3810.5046384582392</v>
      </c>
      <c r="AP98" s="31"/>
      <c r="AQ98" s="4">
        <f t="shared" si="24"/>
        <v>-9.4103834585856916E-9</v>
      </c>
    </row>
    <row r="99" spans="1:43" ht="38.25" x14ac:dyDescent="0.2">
      <c r="A99" s="488"/>
      <c r="B99" s="465"/>
      <c r="C99" s="34" t="s">
        <v>26</v>
      </c>
      <c r="D99" s="31" t="s">
        <v>3</v>
      </c>
      <c r="E99" s="32">
        <v>125</v>
      </c>
      <c r="F99" s="32">
        <v>400000</v>
      </c>
      <c r="G99" s="31">
        <f t="shared" si="25"/>
        <v>3.1250000000000001E-4</v>
      </c>
      <c r="H99" s="488"/>
      <c r="I99" s="465"/>
      <c r="J99" s="34" t="s">
        <v>26</v>
      </c>
      <c r="K99" s="31" t="s">
        <v>3</v>
      </c>
      <c r="L99" s="13">
        <f>$G$99*M99</f>
        <v>58.959835600771925</v>
      </c>
      <c r="M99" s="12">
        <f t="shared" si="26"/>
        <v>188671.47392247015</v>
      </c>
      <c r="N99" s="42"/>
      <c r="O99" s="512"/>
      <c r="P99" s="464"/>
      <c r="Q99" s="209" t="s">
        <v>26</v>
      </c>
      <c r="R99" s="31" t="s">
        <v>3</v>
      </c>
      <c r="S99" s="13">
        <f>$G$99*T99</f>
        <v>0.25746669679036877</v>
      </c>
      <c r="T99" s="12">
        <f t="shared" si="27"/>
        <v>823.89342972918007</v>
      </c>
      <c r="U99" s="71" t="s">
        <v>150</v>
      </c>
      <c r="V99" s="472"/>
      <c r="W99" s="465"/>
      <c r="X99" s="34" t="s">
        <v>26</v>
      </c>
      <c r="Y99" s="31" t="s">
        <v>3</v>
      </c>
      <c r="Z99" s="13">
        <f>$G$99*AA99</f>
        <v>55.998970585799661</v>
      </c>
      <c r="AA99" s="20">
        <f t="shared" si="28"/>
        <v>179196.70587455892</v>
      </c>
      <c r="AB99" s="31"/>
      <c r="AC99" s="488"/>
      <c r="AD99" s="465"/>
      <c r="AE99" s="34" t="s">
        <v>26</v>
      </c>
      <c r="AF99" s="31" t="s">
        <v>3</v>
      </c>
      <c r="AG99" s="13">
        <f>$G$99*AH99</f>
        <v>0.25746669679036877</v>
      </c>
      <c r="AH99" s="12">
        <f t="shared" si="29"/>
        <v>823.89342972918007</v>
      </c>
      <c r="AI99" s="31"/>
      <c r="AJ99" s="488"/>
      <c r="AK99" s="465"/>
      <c r="AL99" s="34" t="s">
        <v>26</v>
      </c>
      <c r="AM99" s="31" t="s">
        <v>3</v>
      </c>
      <c r="AN99" s="13">
        <f>$G$99*AO99</f>
        <v>9.5262615961455985</v>
      </c>
      <c r="AO99" s="12">
        <f t="shared" si="30"/>
        <v>30484.037107665914</v>
      </c>
      <c r="AP99" s="31"/>
      <c r="AQ99" s="4">
        <f t="shared" si="24"/>
        <v>-1.1762979266194407E-6</v>
      </c>
    </row>
    <row r="100" spans="1:43" ht="63.75" x14ac:dyDescent="0.2">
      <c r="A100" s="488"/>
      <c r="B100" s="465"/>
      <c r="C100" s="34" t="s">
        <v>25</v>
      </c>
      <c r="D100" s="31" t="s">
        <v>3</v>
      </c>
      <c r="E100" s="32">
        <v>90</v>
      </c>
      <c r="F100" s="32">
        <v>135000</v>
      </c>
      <c r="G100" s="31">
        <f t="shared" si="25"/>
        <v>6.6666666666666664E-4</v>
      </c>
      <c r="H100" s="488"/>
      <c r="I100" s="465"/>
      <c r="J100" s="34" t="s">
        <v>25</v>
      </c>
      <c r="K100" s="31" t="s">
        <v>3</v>
      </c>
      <c r="L100" s="13">
        <f>$G$100*M100</f>
        <v>42.451081632555784</v>
      </c>
      <c r="M100" s="12">
        <f t="shared" si="26"/>
        <v>63676.622448833674</v>
      </c>
      <c r="N100" s="42"/>
      <c r="O100" s="512"/>
      <c r="P100" s="464"/>
      <c r="Q100" s="209" t="s">
        <v>25</v>
      </c>
      <c r="R100" s="31" t="s">
        <v>3</v>
      </c>
      <c r="S100" s="13">
        <f>$G$100*T100</f>
        <v>0.1853760216890655</v>
      </c>
      <c r="T100" s="12">
        <f t="shared" si="27"/>
        <v>278.06403253359827</v>
      </c>
      <c r="U100" s="71" t="s">
        <v>150</v>
      </c>
      <c r="V100" s="472"/>
      <c r="W100" s="465"/>
      <c r="X100" s="34" t="s">
        <v>25</v>
      </c>
      <c r="Y100" s="31" t="s">
        <v>3</v>
      </c>
      <c r="Z100" s="13">
        <f>$G$100*AA100</f>
        <v>40.319258821775755</v>
      </c>
      <c r="AA100" s="20">
        <f t="shared" si="28"/>
        <v>60478.88823266363</v>
      </c>
      <c r="AB100" s="31"/>
      <c r="AC100" s="488"/>
      <c r="AD100" s="465"/>
      <c r="AE100" s="34" t="s">
        <v>25</v>
      </c>
      <c r="AF100" s="31" t="s">
        <v>3</v>
      </c>
      <c r="AG100" s="13">
        <f>$G$100*AH100</f>
        <v>0.1853760216890655</v>
      </c>
      <c r="AH100" s="12">
        <f t="shared" si="29"/>
        <v>278.06403253359827</v>
      </c>
      <c r="AI100" s="31"/>
      <c r="AJ100" s="488"/>
      <c r="AK100" s="465"/>
      <c r="AL100" s="34" t="s">
        <v>25</v>
      </c>
      <c r="AM100" s="31" t="s">
        <v>3</v>
      </c>
      <c r="AN100" s="13">
        <f>$G$100*AO100</f>
        <v>6.8589083492248308</v>
      </c>
      <c r="AO100" s="12">
        <f t="shared" si="30"/>
        <v>10288.362523837246</v>
      </c>
      <c r="AP100" s="31"/>
      <c r="AQ100" s="4">
        <f t="shared" si="24"/>
        <v>-8.4693450119743829E-7</v>
      </c>
    </row>
    <row r="101" spans="1:43" ht="51" x14ac:dyDescent="0.2">
      <c r="A101" s="488"/>
      <c r="B101" s="465"/>
      <c r="C101" s="34" t="s">
        <v>24</v>
      </c>
      <c r="D101" s="31" t="s">
        <v>3</v>
      </c>
      <c r="E101" s="32">
        <v>55</v>
      </c>
      <c r="F101" s="32">
        <v>30000</v>
      </c>
      <c r="G101" s="31">
        <f t="shared" si="25"/>
        <v>1.8333333333333333E-3</v>
      </c>
      <c r="H101" s="488"/>
      <c r="I101" s="465"/>
      <c r="J101" s="34" t="s">
        <v>24</v>
      </c>
      <c r="K101" s="31" t="s">
        <v>3</v>
      </c>
      <c r="L101" s="13">
        <f>$G$101*M101</f>
        <v>25.942327664339647</v>
      </c>
      <c r="M101" s="12">
        <f t="shared" si="26"/>
        <v>14150.360544185261</v>
      </c>
      <c r="N101" s="42"/>
      <c r="O101" s="512"/>
      <c r="P101" s="464"/>
      <c r="Q101" s="209" t="s">
        <v>24</v>
      </c>
      <c r="R101" s="31" t="s">
        <v>3</v>
      </c>
      <c r="S101" s="13">
        <f>$G$101*T101</f>
        <v>0.11328534658776225</v>
      </c>
      <c r="T101" s="12">
        <f t="shared" si="27"/>
        <v>61.792007229688501</v>
      </c>
      <c r="U101" s="71" t="s">
        <v>150</v>
      </c>
      <c r="V101" s="472"/>
      <c r="W101" s="465"/>
      <c r="X101" s="34" t="s">
        <v>24</v>
      </c>
      <c r="Y101" s="31" t="s">
        <v>3</v>
      </c>
      <c r="Z101" s="13">
        <f>$G$101*AA101</f>
        <v>24.639547057751852</v>
      </c>
      <c r="AA101" s="20">
        <f t="shared" si="28"/>
        <v>13439.752940591919</v>
      </c>
      <c r="AB101" s="31"/>
      <c r="AC101" s="488"/>
      <c r="AD101" s="465"/>
      <c r="AE101" s="34" t="s">
        <v>24</v>
      </c>
      <c r="AF101" s="31" t="s">
        <v>3</v>
      </c>
      <c r="AG101" s="13">
        <f>$G$101*AH101</f>
        <v>0.11328534658776225</v>
      </c>
      <c r="AH101" s="12">
        <f t="shared" si="29"/>
        <v>61.792007229688501</v>
      </c>
      <c r="AI101" s="31"/>
      <c r="AJ101" s="488"/>
      <c r="AK101" s="465"/>
      <c r="AL101" s="34" t="s">
        <v>24</v>
      </c>
      <c r="AM101" s="31" t="s">
        <v>3</v>
      </c>
      <c r="AN101" s="13">
        <f>$G$101*AO101</f>
        <v>4.1915551023040631</v>
      </c>
      <c r="AO101" s="12">
        <f t="shared" si="30"/>
        <v>2286.3027830749434</v>
      </c>
      <c r="AP101" s="31"/>
      <c r="AQ101" s="4">
        <f t="shared" si="24"/>
        <v>-5.1757108643357697E-7</v>
      </c>
    </row>
    <row r="102" spans="1:43" ht="38.25" x14ac:dyDescent="0.2">
      <c r="A102" s="488"/>
      <c r="B102" s="465"/>
      <c r="C102" s="34" t="s">
        <v>23</v>
      </c>
      <c r="D102" s="31" t="s">
        <v>3</v>
      </c>
      <c r="E102" s="32">
        <v>18</v>
      </c>
      <c r="F102" s="32">
        <v>40000</v>
      </c>
      <c r="G102" s="31">
        <f t="shared" si="25"/>
        <v>4.4999999999999999E-4</v>
      </c>
      <c r="H102" s="488"/>
      <c r="I102" s="465"/>
      <c r="J102" s="34" t="s">
        <v>23</v>
      </c>
      <c r="K102" s="31" t="s">
        <v>3</v>
      </c>
      <c r="L102" s="13">
        <f>$G$102*M102-0.1</f>
        <v>8.3902163265111565</v>
      </c>
      <c r="M102" s="12">
        <f t="shared" si="26"/>
        <v>18867.147392247014</v>
      </c>
      <c r="N102" s="42"/>
      <c r="O102" s="512"/>
      <c r="P102" s="464"/>
      <c r="Q102" s="209" t="s">
        <v>23</v>
      </c>
      <c r="R102" s="31" t="s">
        <v>3</v>
      </c>
      <c r="S102" s="13">
        <f>$G$102*T102+0.1</f>
        <v>0.13707520433781312</v>
      </c>
      <c r="T102" s="12">
        <f t="shared" si="27"/>
        <v>82.389342972918001</v>
      </c>
      <c r="U102" s="71" t="s">
        <v>150</v>
      </c>
      <c r="V102" s="472"/>
      <c r="W102" s="465"/>
      <c r="X102" s="34" t="s">
        <v>23</v>
      </c>
      <c r="Y102" s="31" t="s">
        <v>3</v>
      </c>
      <c r="Z102" s="13">
        <f>$G$102*AA102-0.1</f>
        <v>7.9638517643551499</v>
      </c>
      <c r="AA102" s="20">
        <f t="shared" si="28"/>
        <v>17919.67058745589</v>
      </c>
      <c r="AB102" s="31"/>
      <c r="AC102" s="488"/>
      <c r="AD102" s="465"/>
      <c r="AE102" s="34" t="s">
        <v>23</v>
      </c>
      <c r="AF102" s="31" t="s">
        <v>3</v>
      </c>
      <c r="AG102" s="13">
        <f>$G$102*AH102+0.1</f>
        <v>0.13707520433781312</v>
      </c>
      <c r="AH102" s="12">
        <f t="shared" si="29"/>
        <v>82.389342972918001</v>
      </c>
      <c r="AI102" s="31"/>
      <c r="AJ102" s="488"/>
      <c r="AK102" s="465"/>
      <c r="AL102" s="34" t="s">
        <v>23</v>
      </c>
      <c r="AM102" s="31" t="s">
        <v>3</v>
      </c>
      <c r="AN102" s="13">
        <f>$G$102*AO102</f>
        <v>1.3717816698449661</v>
      </c>
      <c r="AO102" s="12">
        <f t="shared" si="30"/>
        <v>3048.4037107665913</v>
      </c>
      <c r="AP102" s="31"/>
      <c r="AQ102" s="4">
        <f t="shared" si="24"/>
        <v>-1.6938689917367356E-7</v>
      </c>
    </row>
    <row r="103" spans="1:43" ht="114.75" x14ac:dyDescent="0.2">
      <c r="A103" s="488"/>
      <c r="B103" s="465"/>
      <c r="C103" s="34" t="s">
        <v>22</v>
      </c>
      <c r="D103" s="31" t="s">
        <v>12</v>
      </c>
      <c r="E103" s="32">
        <v>1</v>
      </c>
      <c r="F103" s="32">
        <v>68296.320000000007</v>
      </c>
      <c r="G103" s="35">
        <f t="shared" si="25"/>
        <v>1.4642077347652112E-5</v>
      </c>
      <c r="H103" s="488"/>
      <c r="I103" s="465"/>
      <c r="J103" s="34" t="s">
        <v>22</v>
      </c>
      <c r="K103" s="31" t="s">
        <v>12</v>
      </c>
      <c r="L103" s="13">
        <f>$G$103*M103-0.1</f>
        <v>0.37167868480617539</v>
      </c>
      <c r="M103" s="12">
        <f t="shared" si="26"/>
        <v>32213.918394701694</v>
      </c>
      <c r="N103" s="42"/>
      <c r="O103" s="512"/>
      <c r="P103" s="464"/>
      <c r="Q103" s="209" t="s">
        <v>22</v>
      </c>
      <c r="R103" s="31" t="s">
        <v>12</v>
      </c>
      <c r="S103" s="13">
        <f>$G$103*T103+0.1</f>
        <v>0.10205973357432295</v>
      </c>
      <c r="T103" s="12">
        <f t="shared" si="27"/>
        <v>140.67222330670398</v>
      </c>
      <c r="U103" s="71" t="s">
        <v>150</v>
      </c>
      <c r="V103" s="472"/>
      <c r="W103" s="465"/>
      <c r="X103" s="34" t="s">
        <v>22</v>
      </c>
      <c r="Y103" s="31" t="s">
        <v>12</v>
      </c>
      <c r="Z103" s="13">
        <f>$G$103*AA103-0.1</f>
        <v>0.34799176468639725</v>
      </c>
      <c r="AA103" s="20">
        <f t="shared" si="28"/>
        <v>30596.188918386892</v>
      </c>
      <c r="AB103" s="31"/>
      <c r="AC103" s="488"/>
      <c r="AD103" s="465"/>
      <c r="AE103" s="34" t="s">
        <v>22</v>
      </c>
      <c r="AF103" s="31" t="s">
        <v>12</v>
      </c>
      <c r="AG103" s="13">
        <f>$G$103*AH103+0.1</f>
        <v>0.10205973357432295</v>
      </c>
      <c r="AH103" s="12">
        <f t="shared" si="29"/>
        <v>140.67222330670398</v>
      </c>
      <c r="AI103" s="31"/>
      <c r="AJ103" s="488"/>
      <c r="AK103" s="465"/>
      <c r="AL103" s="34" t="s">
        <v>22</v>
      </c>
      <c r="AM103" s="31" t="s">
        <v>12</v>
      </c>
      <c r="AN103" s="13">
        <f>$G$103*AO103</f>
        <v>7.6210092769164781E-2</v>
      </c>
      <c r="AO103" s="12">
        <f t="shared" si="30"/>
        <v>5204.8688829925641</v>
      </c>
      <c r="AP103" s="31"/>
      <c r="AQ103" s="4">
        <f t="shared" si="24"/>
        <v>-9.4103833336856013E-9</v>
      </c>
    </row>
    <row r="104" spans="1:43" ht="25.5" x14ac:dyDescent="0.2">
      <c r="A104" s="488"/>
      <c r="B104" s="465"/>
      <c r="C104" s="34" t="s">
        <v>21</v>
      </c>
      <c r="D104" s="31" t="s">
        <v>20</v>
      </c>
      <c r="E104" s="32">
        <v>3.54</v>
      </c>
      <c r="F104" s="32">
        <f>25350-494</f>
        <v>24856</v>
      </c>
      <c r="G104" s="31">
        <f t="shared" si="25"/>
        <v>1.4242034116511104E-4</v>
      </c>
      <c r="H104" s="488"/>
      <c r="I104" s="465"/>
      <c r="J104" s="34" t="s">
        <v>21</v>
      </c>
      <c r="K104" s="31" t="s">
        <v>20</v>
      </c>
      <c r="L104" s="13">
        <f>$G$104*M104-0.1</f>
        <v>1.5697425442138606</v>
      </c>
      <c r="M104" s="12">
        <f t="shared" si="26"/>
        <v>11724.045389542294</v>
      </c>
      <c r="N104" s="42"/>
      <c r="O104" s="512"/>
      <c r="P104" s="464"/>
      <c r="Q104" s="209" t="s">
        <v>21</v>
      </c>
      <c r="R104" s="31" t="s">
        <v>20</v>
      </c>
      <c r="S104" s="13">
        <f>$G$104*T104+0.1</f>
        <v>0.10729145685310325</v>
      </c>
      <c r="T104" s="12">
        <f t="shared" si="27"/>
        <v>51.19673772337125</v>
      </c>
      <c r="U104" s="71" t="s">
        <v>150</v>
      </c>
      <c r="V104" s="472"/>
      <c r="W104" s="465"/>
      <c r="X104" s="34" t="s">
        <v>21</v>
      </c>
      <c r="Y104" s="31" t="s">
        <v>20</v>
      </c>
      <c r="Z104" s="13">
        <f>$G$104*AA104-0.1</f>
        <v>1.4858908469898462</v>
      </c>
      <c r="AA104" s="20">
        <f t="shared" si="28"/>
        <v>11135.283303045091</v>
      </c>
      <c r="AB104" s="31"/>
      <c r="AC104" s="488"/>
      <c r="AD104" s="465"/>
      <c r="AE104" s="34" t="s">
        <v>21</v>
      </c>
      <c r="AF104" s="31" t="s">
        <v>20</v>
      </c>
      <c r="AG104" s="13">
        <f>$G$104*AH104+0.1</f>
        <v>0.10729145685310325</v>
      </c>
      <c r="AH104" s="12">
        <f t="shared" si="29"/>
        <v>51.19673772337125</v>
      </c>
      <c r="AI104" s="31"/>
      <c r="AJ104" s="488"/>
      <c r="AK104" s="465"/>
      <c r="AL104" s="34" t="s">
        <v>21</v>
      </c>
      <c r="AM104" s="31" t="s">
        <v>20</v>
      </c>
      <c r="AN104" s="13">
        <f>$G$104*AO104</f>
        <v>0.26978372840284331</v>
      </c>
      <c r="AO104" s="12">
        <f t="shared" si="30"/>
        <v>1894.2780658703598</v>
      </c>
      <c r="AP104" s="31"/>
      <c r="AQ104" s="4">
        <f t="shared" si="24"/>
        <v>-3.3312756497760887E-8</v>
      </c>
    </row>
    <row r="105" spans="1:43" ht="25.5" x14ac:dyDescent="0.2">
      <c r="A105" s="488"/>
      <c r="B105" s="465"/>
      <c r="C105" s="34" t="s">
        <v>19</v>
      </c>
      <c r="D105" s="31" t="s">
        <v>3</v>
      </c>
      <c r="E105" s="32">
        <v>30</v>
      </c>
      <c r="F105" s="32">
        <v>30000</v>
      </c>
      <c r="G105" s="31">
        <f t="shared" si="25"/>
        <v>1E-3</v>
      </c>
      <c r="H105" s="488"/>
      <c r="I105" s="465"/>
      <c r="J105" s="34" t="s">
        <v>19</v>
      </c>
      <c r="K105" s="31" t="s">
        <v>3</v>
      </c>
      <c r="L105" s="13">
        <f>$G$105*M105</f>
        <v>14.150360544185261</v>
      </c>
      <c r="M105" s="12">
        <f t="shared" si="26"/>
        <v>14150.360544185261</v>
      </c>
      <c r="N105" s="42"/>
      <c r="O105" s="512"/>
      <c r="P105" s="464"/>
      <c r="Q105" s="209" t="s">
        <v>19</v>
      </c>
      <c r="R105" s="31" t="s">
        <v>3</v>
      </c>
      <c r="S105" s="13">
        <f>$G$105*T105</f>
        <v>6.17920072296885E-2</v>
      </c>
      <c r="T105" s="12">
        <f t="shared" si="27"/>
        <v>61.792007229688501</v>
      </c>
      <c r="U105" s="71" t="s">
        <v>150</v>
      </c>
      <c r="V105" s="472"/>
      <c r="W105" s="465"/>
      <c r="X105" s="34" t="s">
        <v>19</v>
      </c>
      <c r="Y105" s="31" t="s">
        <v>3</v>
      </c>
      <c r="Z105" s="13">
        <f>$G$105*AA105</f>
        <v>13.439752940591919</v>
      </c>
      <c r="AA105" s="20">
        <f t="shared" si="28"/>
        <v>13439.752940591919</v>
      </c>
      <c r="AB105" s="31"/>
      <c r="AC105" s="488"/>
      <c r="AD105" s="465"/>
      <c r="AE105" s="34" t="s">
        <v>19</v>
      </c>
      <c r="AF105" s="31" t="s">
        <v>3</v>
      </c>
      <c r="AG105" s="13">
        <f>$G$105*AH105</f>
        <v>6.17920072296885E-2</v>
      </c>
      <c r="AH105" s="12">
        <f t="shared" si="29"/>
        <v>61.792007229688501</v>
      </c>
      <c r="AI105" s="31"/>
      <c r="AJ105" s="488"/>
      <c r="AK105" s="465"/>
      <c r="AL105" s="34" t="s">
        <v>19</v>
      </c>
      <c r="AM105" s="31" t="s">
        <v>3</v>
      </c>
      <c r="AN105" s="13">
        <f>$G$105*AO105</f>
        <v>2.2863027830749436</v>
      </c>
      <c r="AO105" s="12">
        <f t="shared" si="30"/>
        <v>2286.3027830749434</v>
      </c>
      <c r="AP105" s="31"/>
      <c r="AQ105" s="4">
        <f t="shared" ref="AQ105:AQ120" si="31">E105-L105-S105-Z105-AG105-AN105</f>
        <v>-2.8231150217550294E-7</v>
      </c>
    </row>
    <row r="106" spans="1:43" ht="25.5" x14ac:dyDescent="0.2">
      <c r="A106" s="488"/>
      <c r="B106" s="465"/>
      <c r="C106" s="34" t="s">
        <v>18</v>
      </c>
      <c r="D106" s="31" t="s">
        <v>3</v>
      </c>
      <c r="E106" s="32">
        <v>10</v>
      </c>
      <c r="F106" s="32">
        <v>10000</v>
      </c>
      <c r="G106" s="31">
        <f t="shared" si="25"/>
        <v>1E-3</v>
      </c>
      <c r="H106" s="488"/>
      <c r="I106" s="465"/>
      <c r="J106" s="34" t="s">
        <v>18</v>
      </c>
      <c r="K106" s="31" t="s">
        <v>3</v>
      </c>
      <c r="L106" s="13">
        <f>$G$106*M106-0.1</f>
        <v>4.6167868480617535</v>
      </c>
      <c r="M106" s="12">
        <f t="shared" si="26"/>
        <v>4716.7868480617535</v>
      </c>
      <c r="N106" s="42"/>
      <c r="O106" s="512"/>
      <c r="P106" s="464"/>
      <c r="Q106" s="209" t="s">
        <v>18</v>
      </c>
      <c r="R106" s="31" t="s">
        <v>3</v>
      </c>
      <c r="S106" s="13">
        <f>$G$106*T106+0.1</f>
        <v>0.12059733574322951</v>
      </c>
      <c r="T106" s="12">
        <f t="shared" si="27"/>
        <v>20.5973357432295</v>
      </c>
      <c r="U106" s="71" t="s">
        <v>150</v>
      </c>
      <c r="V106" s="472"/>
      <c r="W106" s="465"/>
      <c r="X106" s="34" t="s">
        <v>18</v>
      </c>
      <c r="Y106" s="31" t="s">
        <v>3</v>
      </c>
      <c r="Z106" s="13">
        <f>$G$106*AA106-0.1</f>
        <v>4.3799176468639729</v>
      </c>
      <c r="AA106" s="20">
        <f t="shared" si="28"/>
        <v>4479.9176468639725</v>
      </c>
      <c r="AB106" s="31"/>
      <c r="AC106" s="488"/>
      <c r="AD106" s="465"/>
      <c r="AE106" s="34" t="s">
        <v>18</v>
      </c>
      <c r="AF106" s="31" t="s">
        <v>3</v>
      </c>
      <c r="AG106" s="13">
        <f>$G$106*AH106+0.1</f>
        <v>0.12059733574322951</v>
      </c>
      <c r="AH106" s="12">
        <f t="shared" si="29"/>
        <v>20.5973357432295</v>
      </c>
      <c r="AI106" s="31"/>
      <c r="AJ106" s="488"/>
      <c r="AK106" s="465"/>
      <c r="AL106" s="34" t="s">
        <v>18</v>
      </c>
      <c r="AM106" s="31" t="s">
        <v>3</v>
      </c>
      <c r="AN106" s="13">
        <f>$G$106*AO106</f>
        <v>0.76210092769164783</v>
      </c>
      <c r="AO106" s="12">
        <f t="shared" si="30"/>
        <v>762.10092769164783</v>
      </c>
      <c r="AP106" s="31"/>
      <c r="AQ106" s="4">
        <f t="shared" si="31"/>
        <v>-9.4103833503389467E-8</v>
      </c>
    </row>
    <row r="107" spans="1:43" ht="63.75" x14ac:dyDescent="0.2">
      <c r="A107" s="488"/>
      <c r="B107" s="465"/>
      <c r="C107" s="34" t="s">
        <v>17</v>
      </c>
      <c r="D107" s="31" t="s">
        <v>12</v>
      </c>
      <c r="E107" s="32">
        <v>1</v>
      </c>
      <c r="F107" s="32">
        <v>18774</v>
      </c>
      <c r="G107" s="18">
        <f t="shared" si="25"/>
        <v>5.3265153936294876E-5</v>
      </c>
      <c r="H107" s="488"/>
      <c r="I107" s="465"/>
      <c r="J107" s="34" t="s">
        <v>17</v>
      </c>
      <c r="K107" s="31" t="s">
        <v>12</v>
      </c>
      <c r="L107" s="13">
        <f>$G$107*M107-0.1</f>
        <v>0.37167868480617527</v>
      </c>
      <c r="M107" s="12">
        <f t="shared" si="26"/>
        <v>8855.2956285511355</v>
      </c>
      <c r="N107" s="42"/>
      <c r="O107" s="512"/>
      <c r="P107" s="464"/>
      <c r="Q107" s="209" t="s">
        <v>17</v>
      </c>
      <c r="R107" s="31" t="s">
        <v>12</v>
      </c>
      <c r="S107" s="13">
        <f>$G$107*T107+0.1</f>
        <v>0.10205973357432295</v>
      </c>
      <c r="T107" s="12">
        <f t="shared" si="27"/>
        <v>38.669438124339067</v>
      </c>
      <c r="U107" s="71" t="s">
        <v>150</v>
      </c>
      <c r="V107" s="472"/>
      <c r="W107" s="465"/>
      <c r="X107" s="34" t="s">
        <v>17</v>
      </c>
      <c r="Y107" s="31" t="s">
        <v>12</v>
      </c>
      <c r="Z107" s="13">
        <f>$G$107*AA107-0.1</f>
        <v>0.34799176468639736</v>
      </c>
      <c r="AA107" s="20">
        <f t="shared" si="28"/>
        <v>8410.5973902224232</v>
      </c>
      <c r="AB107" s="31"/>
      <c r="AC107" s="488"/>
      <c r="AD107" s="465"/>
      <c r="AE107" s="34" t="s">
        <v>17</v>
      </c>
      <c r="AF107" s="31" t="s">
        <v>12</v>
      </c>
      <c r="AG107" s="13">
        <f>$G$107*AH107+0.1</f>
        <v>0.10205973357432295</v>
      </c>
      <c r="AH107" s="12">
        <f t="shared" si="29"/>
        <v>38.669438124339067</v>
      </c>
      <c r="AI107" s="31"/>
      <c r="AJ107" s="488"/>
      <c r="AK107" s="465"/>
      <c r="AL107" s="34" t="s">
        <v>17</v>
      </c>
      <c r="AM107" s="31" t="s">
        <v>12</v>
      </c>
      <c r="AN107" s="13">
        <f>$G$107*AO107</f>
        <v>7.6210092769164781E-2</v>
      </c>
      <c r="AO107" s="12">
        <f t="shared" si="30"/>
        <v>1430.7682816482995</v>
      </c>
      <c r="AP107" s="31"/>
      <c r="AQ107" s="4">
        <f t="shared" si="31"/>
        <v>-9.4103833336856013E-9</v>
      </c>
    </row>
    <row r="108" spans="1:43" ht="89.25" x14ac:dyDescent="0.2">
      <c r="A108" s="488"/>
      <c r="B108" s="465"/>
      <c r="C108" s="34" t="s">
        <v>16</v>
      </c>
      <c r="D108" s="31" t="s">
        <v>3</v>
      </c>
      <c r="E108" s="32">
        <v>90</v>
      </c>
      <c r="F108" s="32">
        <f>200000+20000+24000+4000+2000+165000</f>
        <v>415000</v>
      </c>
      <c r="G108" s="18">
        <f t="shared" si="25"/>
        <v>2.1686746987951806E-4</v>
      </c>
      <c r="H108" s="488"/>
      <c r="I108" s="465"/>
      <c r="J108" s="34" t="s">
        <v>16</v>
      </c>
      <c r="K108" s="31" t="s">
        <v>3</v>
      </c>
      <c r="L108" s="13">
        <f>$G$108*M108</f>
        <v>42.451081632555784</v>
      </c>
      <c r="M108" s="12">
        <f t="shared" si="26"/>
        <v>195746.65419456278</v>
      </c>
      <c r="N108" s="42"/>
      <c r="O108" s="512"/>
      <c r="P108" s="464"/>
      <c r="Q108" s="209" t="s">
        <v>16</v>
      </c>
      <c r="R108" s="31" t="s">
        <v>3</v>
      </c>
      <c r="S108" s="13">
        <f>$G$108*T108</f>
        <v>0.1853760216890655</v>
      </c>
      <c r="T108" s="12">
        <f t="shared" si="27"/>
        <v>854.78943334402425</v>
      </c>
      <c r="U108" s="71" t="s">
        <v>150</v>
      </c>
      <c r="V108" s="472"/>
      <c r="W108" s="465"/>
      <c r="X108" s="34" t="s">
        <v>16</v>
      </c>
      <c r="Y108" s="31" t="s">
        <v>3</v>
      </c>
      <c r="Z108" s="13">
        <f>$G$108*AA108</f>
        <v>40.319258821775755</v>
      </c>
      <c r="AA108" s="20">
        <f t="shared" si="28"/>
        <v>185916.58234485486</v>
      </c>
      <c r="AB108" s="31"/>
      <c r="AC108" s="488"/>
      <c r="AD108" s="465"/>
      <c r="AE108" s="34" t="s">
        <v>16</v>
      </c>
      <c r="AF108" s="31" t="s">
        <v>3</v>
      </c>
      <c r="AG108" s="13">
        <f>$G$108*AH108</f>
        <v>0.1853760216890655</v>
      </c>
      <c r="AH108" s="12">
        <f t="shared" si="29"/>
        <v>854.78943334402425</v>
      </c>
      <c r="AI108" s="31"/>
      <c r="AJ108" s="488"/>
      <c r="AK108" s="465"/>
      <c r="AL108" s="34" t="s">
        <v>16</v>
      </c>
      <c r="AM108" s="31" t="s">
        <v>3</v>
      </c>
      <c r="AN108" s="13">
        <f>$G$108*AO108</f>
        <v>6.8589083492248299</v>
      </c>
      <c r="AO108" s="12">
        <f t="shared" si="30"/>
        <v>31627.188499203385</v>
      </c>
      <c r="AP108" s="31"/>
      <c r="AQ108" s="4">
        <f t="shared" si="31"/>
        <v>-8.4693450030925987E-7</v>
      </c>
    </row>
    <row r="109" spans="1:43" ht="38.25" x14ac:dyDescent="0.2">
      <c r="A109" s="488"/>
      <c r="B109" s="465"/>
      <c r="C109" s="34" t="s">
        <v>15</v>
      </c>
      <c r="D109" s="31" t="s">
        <v>12</v>
      </c>
      <c r="E109" s="32">
        <v>1</v>
      </c>
      <c r="F109" s="32">
        <v>7500</v>
      </c>
      <c r="G109" s="18">
        <f t="shared" si="25"/>
        <v>1.3333333333333334E-4</v>
      </c>
      <c r="H109" s="488"/>
      <c r="I109" s="465"/>
      <c r="J109" s="34" t="s">
        <v>15</v>
      </c>
      <c r="K109" s="31" t="s">
        <v>12</v>
      </c>
      <c r="L109" s="13">
        <f>$G$109*M109-0.1</f>
        <v>0.37167868480617539</v>
      </c>
      <c r="M109" s="12">
        <f t="shared" si="26"/>
        <v>3537.5901360463154</v>
      </c>
      <c r="N109" s="42"/>
      <c r="O109" s="512"/>
      <c r="P109" s="464"/>
      <c r="Q109" s="209" t="s">
        <v>15</v>
      </c>
      <c r="R109" s="31" t="s">
        <v>12</v>
      </c>
      <c r="S109" s="13">
        <f>$G$109*T109+0.1</f>
        <v>0.10205973357432295</v>
      </c>
      <c r="T109" s="12">
        <f t="shared" si="27"/>
        <v>15.448001807422125</v>
      </c>
      <c r="U109" s="71" t="s">
        <v>150</v>
      </c>
      <c r="V109" s="472"/>
      <c r="W109" s="465"/>
      <c r="X109" s="34" t="s">
        <v>15</v>
      </c>
      <c r="Y109" s="31" t="s">
        <v>12</v>
      </c>
      <c r="Z109" s="13">
        <f>$G$109*AA109</f>
        <v>0.44799176468639734</v>
      </c>
      <c r="AA109" s="20">
        <f t="shared" si="28"/>
        <v>3359.9382351479799</v>
      </c>
      <c r="AB109" s="31"/>
      <c r="AC109" s="488"/>
      <c r="AD109" s="465"/>
      <c r="AE109" s="34" t="s">
        <v>15</v>
      </c>
      <c r="AF109" s="31" t="s">
        <v>12</v>
      </c>
      <c r="AG109" s="13">
        <f>$G$109*AH109</f>
        <v>2.0597335743229501E-3</v>
      </c>
      <c r="AH109" s="12">
        <f t="shared" si="29"/>
        <v>15.448001807422125</v>
      </c>
      <c r="AI109" s="31"/>
      <c r="AJ109" s="488"/>
      <c r="AK109" s="465"/>
      <c r="AL109" s="34" t="s">
        <v>15</v>
      </c>
      <c r="AM109" s="31" t="s">
        <v>12</v>
      </c>
      <c r="AN109" s="13">
        <f>$G$109*AO109</f>
        <v>7.6210092769164781E-2</v>
      </c>
      <c r="AO109" s="12">
        <f t="shared" si="30"/>
        <v>571.57569576873584</v>
      </c>
      <c r="AP109" s="31"/>
      <c r="AQ109" s="4">
        <f t="shared" si="31"/>
        <v>-9.4103834169523282E-9</v>
      </c>
    </row>
    <row r="110" spans="1:43" ht="108" x14ac:dyDescent="0.2">
      <c r="A110" s="488"/>
      <c r="B110" s="465"/>
      <c r="C110" s="15" t="s">
        <v>14</v>
      </c>
      <c r="D110" s="31" t="s">
        <v>10</v>
      </c>
      <c r="E110" s="33">
        <v>110</v>
      </c>
      <c r="F110" s="33">
        <v>20000</v>
      </c>
      <c r="G110" s="18">
        <f t="shared" si="25"/>
        <v>5.4999999999999997E-3</v>
      </c>
      <c r="H110" s="488"/>
      <c r="I110" s="465"/>
      <c r="J110" s="15" t="s">
        <v>14</v>
      </c>
      <c r="K110" s="31" t="s">
        <v>10</v>
      </c>
      <c r="L110" s="13">
        <f>$G$110*M110</f>
        <v>51.884655328679287</v>
      </c>
      <c r="M110" s="12">
        <f t="shared" si="26"/>
        <v>9433.573696123507</v>
      </c>
      <c r="N110" s="42"/>
      <c r="O110" s="512"/>
      <c r="P110" s="464"/>
      <c r="Q110" s="210" t="s">
        <v>14</v>
      </c>
      <c r="R110" s="31" t="s">
        <v>10</v>
      </c>
      <c r="S110" s="13">
        <f>$G$110*T110</f>
        <v>0.2265706931755245</v>
      </c>
      <c r="T110" s="12">
        <f t="shared" si="27"/>
        <v>41.194671486459001</v>
      </c>
      <c r="U110" s="71" t="s">
        <v>150</v>
      </c>
      <c r="V110" s="472"/>
      <c r="W110" s="465"/>
      <c r="X110" s="15" t="s">
        <v>14</v>
      </c>
      <c r="Y110" s="31" t="s">
        <v>10</v>
      </c>
      <c r="Z110" s="13">
        <f>$G$110*AA110</f>
        <v>49.279094115503696</v>
      </c>
      <c r="AA110" s="20">
        <f t="shared" si="28"/>
        <v>8959.8352937279451</v>
      </c>
      <c r="AB110" s="31"/>
      <c r="AC110" s="488"/>
      <c r="AD110" s="465"/>
      <c r="AE110" s="15" t="s">
        <v>14</v>
      </c>
      <c r="AF110" s="31" t="s">
        <v>10</v>
      </c>
      <c r="AG110" s="13">
        <f>$G$110*AH110</f>
        <v>0.2265706931755245</v>
      </c>
      <c r="AH110" s="12">
        <f t="shared" si="29"/>
        <v>41.194671486459001</v>
      </c>
      <c r="AI110" s="31"/>
      <c r="AJ110" s="488"/>
      <c r="AK110" s="465"/>
      <c r="AL110" s="15" t="s">
        <v>14</v>
      </c>
      <c r="AM110" s="31" t="s">
        <v>10</v>
      </c>
      <c r="AN110" s="13">
        <f>$G$110*AO110</f>
        <v>8.3831102046081263</v>
      </c>
      <c r="AO110" s="12">
        <f t="shared" si="30"/>
        <v>1524.2018553832957</v>
      </c>
      <c r="AP110" s="31"/>
      <c r="AQ110" s="4">
        <f t="shared" si="31"/>
        <v>-1.0351421586562992E-6</v>
      </c>
    </row>
    <row r="111" spans="1:43" ht="40.5" x14ac:dyDescent="0.2">
      <c r="A111" s="488"/>
      <c r="B111" s="465"/>
      <c r="C111" s="15" t="s">
        <v>13</v>
      </c>
      <c r="D111" s="31" t="s">
        <v>12</v>
      </c>
      <c r="E111" s="33">
        <v>1</v>
      </c>
      <c r="F111" s="33">
        <v>150000</v>
      </c>
      <c r="G111" s="18">
        <f t="shared" si="25"/>
        <v>6.6666666666666666E-6</v>
      </c>
      <c r="H111" s="488"/>
      <c r="I111" s="465"/>
      <c r="J111" s="15" t="s">
        <v>13</v>
      </c>
      <c r="K111" s="31" t="s">
        <v>12</v>
      </c>
      <c r="L111" s="13">
        <f>$G$111*M111-0.1</f>
        <v>0.37167868480617539</v>
      </c>
      <c r="M111" s="12">
        <f t="shared" si="26"/>
        <v>70751.802720926309</v>
      </c>
      <c r="N111" s="42"/>
      <c r="O111" s="512"/>
      <c r="P111" s="464"/>
      <c r="Q111" s="210" t="s">
        <v>13</v>
      </c>
      <c r="R111" s="31" t="s">
        <v>12</v>
      </c>
      <c r="S111" s="13">
        <f>$G$111*T111+0.1</f>
        <v>0.10205973357432295</v>
      </c>
      <c r="T111" s="12">
        <f t="shared" si="27"/>
        <v>308.9600361484425</v>
      </c>
      <c r="U111" s="71" t="s">
        <v>150</v>
      </c>
      <c r="V111" s="472"/>
      <c r="W111" s="465"/>
      <c r="X111" s="15" t="s">
        <v>13</v>
      </c>
      <c r="Y111" s="31" t="s">
        <v>12</v>
      </c>
      <c r="Z111" s="13">
        <f>$G$111*AA111-0.1</f>
        <v>0.34799176468639725</v>
      </c>
      <c r="AA111" s="20">
        <f t="shared" si="28"/>
        <v>67198.764702959597</v>
      </c>
      <c r="AB111" s="31"/>
      <c r="AC111" s="488"/>
      <c r="AD111" s="465"/>
      <c r="AE111" s="15" t="s">
        <v>13</v>
      </c>
      <c r="AF111" s="31" t="s">
        <v>12</v>
      </c>
      <c r="AG111" s="13">
        <f>$G$111*AH111+0.1</f>
        <v>0.10205973357432295</v>
      </c>
      <c r="AH111" s="12">
        <f t="shared" si="29"/>
        <v>308.9600361484425</v>
      </c>
      <c r="AI111" s="31"/>
      <c r="AJ111" s="488"/>
      <c r="AK111" s="465"/>
      <c r="AL111" s="15" t="s">
        <v>13</v>
      </c>
      <c r="AM111" s="31" t="s">
        <v>12</v>
      </c>
      <c r="AN111" s="13">
        <f>$G$111*AO111</f>
        <v>7.6210092769164781E-2</v>
      </c>
      <c r="AO111" s="12">
        <f t="shared" si="30"/>
        <v>11431.513915374717</v>
      </c>
      <c r="AP111" s="31"/>
      <c r="AQ111" s="4">
        <f t="shared" si="31"/>
        <v>-9.4103833336856013E-9</v>
      </c>
    </row>
    <row r="112" spans="1:43" ht="42.75" x14ac:dyDescent="0.2">
      <c r="A112" s="17"/>
      <c r="B112" s="16"/>
      <c r="C112" s="31" t="s">
        <v>11</v>
      </c>
      <c r="D112" s="31" t="s">
        <v>10</v>
      </c>
      <c r="E112" s="32">
        <v>1140</v>
      </c>
      <c r="F112" s="32">
        <f>23000+5000</f>
        <v>28000</v>
      </c>
      <c r="G112" s="18">
        <f t="shared" si="25"/>
        <v>4.0714285714285717E-2</v>
      </c>
      <c r="H112" s="17"/>
      <c r="I112" s="16"/>
      <c r="J112" s="31" t="s">
        <v>11</v>
      </c>
      <c r="K112" s="31" t="s">
        <v>10</v>
      </c>
      <c r="L112" s="13">
        <f>$G$112*M112</f>
        <v>537.7137006790399</v>
      </c>
      <c r="M112" s="12">
        <f t="shared" si="26"/>
        <v>13207.00317457291</v>
      </c>
      <c r="N112" s="42"/>
      <c r="O112" s="324"/>
      <c r="P112" s="325"/>
      <c r="Q112" s="124" t="s">
        <v>11</v>
      </c>
      <c r="R112" s="31" t="s">
        <v>10</v>
      </c>
      <c r="S112" s="13">
        <f>$G$112*T112</f>
        <v>2.3480962747281633</v>
      </c>
      <c r="T112" s="12">
        <f t="shared" si="27"/>
        <v>57.672540081042605</v>
      </c>
      <c r="U112" s="71" t="s">
        <v>150</v>
      </c>
      <c r="V112" s="50"/>
      <c r="W112" s="16"/>
      <c r="X112" s="31" t="s">
        <v>11</v>
      </c>
      <c r="Y112" s="31" t="s">
        <v>10</v>
      </c>
      <c r="Z112" s="13">
        <f>$G$112*AA112</f>
        <v>510.71061174249292</v>
      </c>
      <c r="AA112" s="20">
        <f t="shared" si="28"/>
        <v>12543.769411219124</v>
      </c>
      <c r="AB112" s="31"/>
      <c r="AC112" s="17"/>
      <c r="AD112" s="16"/>
      <c r="AE112" s="31" t="s">
        <v>11</v>
      </c>
      <c r="AF112" s="31" t="s">
        <v>10</v>
      </c>
      <c r="AG112" s="13">
        <f>$G$112*AH112</f>
        <v>2.3480962747281633</v>
      </c>
      <c r="AH112" s="12">
        <f t="shared" si="29"/>
        <v>57.672540081042605</v>
      </c>
      <c r="AI112" s="31"/>
      <c r="AJ112" s="17"/>
      <c r="AK112" s="16"/>
      <c r="AL112" s="31" t="s">
        <v>11</v>
      </c>
      <c r="AM112" s="31" t="s">
        <v>10</v>
      </c>
      <c r="AN112" s="13">
        <f>$G$112*AO112</f>
        <v>86.879505756847863</v>
      </c>
      <c r="AO112" s="12">
        <f t="shared" si="30"/>
        <v>2133.882597536614</v>
      </c>
      <c r="AP112" s="31"/>
      <c r="AQ112" s="4">
        <f t="shared" si="31"/>
        <v>-1.0727837008062124E-5</v>
      </c>
    </row>
    <row r="113" spans="1:43" s="21" customFormat="1" x14ac:dyDescent="0.2">
      <c r="A113" s="27"/>
      <c r="B113" s="26"/>
      <c r="C113" s="25" t="s">
        <v>9</v>
      </c>
      <c r="D113" s="24" t="s">
        <v>8</v>
      </c>
      <c r="E113" s="30">
        <f>3393+3637.5</f>
        <v>7030.5</v>
      </c>
      <c r="F113" s="29">
        <v>558159.99800000002</v>
      </c>
      <c r="G113" s="18">
        <f t="shared" si="25"/>
        <v>1.259585069727623E-2</v>
      </c>
      <c r="H113" s="27"/>
      <c r="I113" s="26"/>
      <c r="J113" s="25" t="s">
        <v>9</v>
      </c>
      <c r="K113" s="24" t="s">
        <v>8</v>
      </c>
      <c r="L113" s="13">
        <f>$G$113*M113</f>
        <v>3621.6848316010755</v>
      </c>
      <c r="M113" s="28">
        <f>288785.58/460*458</f>
        <v>287529.99052173912</v>
      </c>
      <c r="N113" s="22"/>
      <c r="O113" s="27"/>
      <c r="P113" s="212"/>
      <c r="Q113" s="211" t="s">
        <v>9</v>
      </c>
      <c r="R113" s="24" t="s">
        <v>8</v>
      </c>
      <c r="S113" s="13">
        <f>$G$113*T113</f>
        <v>15.815217605244872</v>
      </c>
      <c r="T113" s="28">
        <f>288785.58/460*2</f>
        <v>1255.5894782608696</v>
      </c>
      <c r="U113" s="218" t="s">
        <v>150</v>
      </c>
      <c r="V113" s="217"/>
      <c r="W113" s="26"/>
      <c r="X113" s="25" t="s">
        <v>9</v>
      </c>
      <c r="Y113" s="24" t="s">
        <v>8</v>
      </c>
      <c r="Z113" s="13">
        <f>$G$113*AA113</f>
        <v>2888.3659286764</v>
      </c>
      <c r="AA113" s="23">
        <f>269374.42/SUM($J$2:$L$2)*J2</f>
        <v>229310.90547945205</v>
      </c>
      <c r="AB113" s="22"/>
      <c r="AC113" s="27"/>
      <c r="AD113" s="26"/>
      <c r="AE113" s="25" t="s">
        <v>9</v>
      </c>
      <c r="AF113" s="24" t="s">
        <v>8</v>
      </c>
      <c r="AG113" s="13">
        <f>$G$113*AH113</f>
        <v>13.279843350236321</v>
      </c>
      <c r="AH113" s="23">
        <f>269374.42/SUM($J$2:$L$2)*K2</f>
        <v>1054.3030136986301</v>
      </c>
      <c r="AI113" s="22"/>
      <c r="AJ113" s="27"/>
      <c r="AK113" s="26"/>
      <c r="AL113" s="25" t="s">
        <v>9</v>
      </c>
      <c r="AM113" s="24" t="s">
        <v>8</v>
      </c>
      <c r="AN113" s="13">
        <f>$G$113*AO113</f>
        <v>491.35420395874388</v>
      </c>
      <c r="AO113" s="23">
        <f>269374.42/SUM($J$2:$L$2)*L2</f>
        <v>39009.211506849315</v>
      </c>
      <c r="AP113" s="22"/>
      <c r="AQ113" s="4">
        <f t="shared" si="31"/>
        <v>-2.5191700672166917E-5</v>
      </c>
    </row>
    <row r="114" spans="1:43" ht="54" x14ac:dyDescent="0.2">
      <c r="A114" s="17"/>
      <c r="B114" s="16"/>
      <c r="C114" s="15" t="s">
        <v>7</v>
      </c>
      <c r="D114" s="14" t="s">
        <v>3</v>
      </c>
      <c r="E114" s="19">
        <v>18</v>
      </c>
      <c r="F114" s="19">
        <v>11730</v>
      </c>
      <c r="G114" s="18">
        <f t="shared" si="25"/>
        <v>1.5345268542199489E-3</v>
      </c>
      <c r="H114" s="17"/>
      <c r="I114" s="16"/>
      <c r="J114" s="15" t="s">
        <v>7</v>
      </c>
      <c r="K114" s="14" t="s">
        <v>3</v>
      </c>
      <c r="L114" s="13">
        <f>$G$114*M114-0.1</f>
        <v>8.3902163265111582</v>
      </c>
      <c r="M114" s="12">
        <f>$N$123/($F$118-558160)*F114</f>
        <v>5532.7909727764372</v>
      </c>
      <c r="N114" s="11"/>
      <c r="O114" s="324"/>
      <c r="P114" s="325"/>
      <c r="Q114" s="210" t="s">
        <v>7</v>
      </c>
      <c r="R114" s="14" t="s">
        <v>3</v>
      </c>
      <c r="S114" s="13">
        <f>$G$114*T114+0.1</f>
        <v>0.13707520433781312</v>
      </c>
      <c r="T114" s="12">
        <f>$U$123/($F$118-558160)*F114</f>
        <v>24.160674826808204</v>
      </c>
      <c r="U114" s="219" t="s">
        <v>150</v>
      </c>
      <c r="V114" s="50"/>
      <c r="W114" s="16"/>
      <c r="X114" s="15" t="s">
        <v>7</v>
      </c>
      <c r="Y114" s="14" t="s">
        <v>3</v>
      </c>
      <c r="Z114" s="13">
        <f>$G$114*AA114-0.1</f>
        <v>7.9638517643551516</v>
      </c>
      <c r="AA114" s="20">
        <f>$AB$123/($F$118-558160)*F114</f>
        <v>5254.9433997714405</v>
      </c>
      <c r="AB114" s="11"/>
      <c r="AC114" s="17"/>
      <c r="AD114" s="16"/>
      <c r="AE114" s="15" t="s">
        <v>7</v>
      </c>
      <c r="AF114" s="14" t="s">
        <v>3</v>
      </c>
      <c r="AG114" s="13">
        <f>$G$114*AH114+0.13</f>
        <v>0.16707520433781312</v>
      </c>
      <c r="AH114" s="12">
        <f>$AI$123/($F$118-558160)*F114</f>
        <v>24.160674826808204</v>
      </c>
      <c r="AI114" s="11"/>
      <c r="AJ114" s="17"/>
      <c r="AK114" s="16"/>
      <c r="AL114" s="15" t="s">
        <v>7</v>
      </c>
      <c r="AM114" s="14" t="s">
        <v>3</v>
      </c>
      <c r="AN114" s="13">
        <f>$G$114*AO114</f>
        <v>1.3717816698449661</v>
      </c>
      <c r="AO114" s="12">
        <f>$AP$122/($F$118-558160)*F114</f>
        <v>893.94438818230287</v>
      </c>
      <c r="AP114" s="11"/>
      <c r="AQ114" s="4">
        <f t="shared" si="31"/>
        <v>-3.0000169386902753E-2</v>
      </c>
    </row>
    <row r="115" spans="1:43" ht="27" x14ac:dyDescent="0.2">
      <c r="A115" s="17"/>
      <c r="B115" s="16"/>
      <c r="C115" s="15" t="s">
        <v>6</v>
      </c>
      <c r="D115" s="14" t="s">
        <v>3</v>
      </c>
      <c r="E115" s="19">
        <v>31</v>
      </c>
      <c r="F115" s="19">
        <v>72300</v>
      </c>
      <c r="G115" s="18">
        <f t="shared" si="25"/>
        <v>4.2876901798063625E-4</v>
      </c>
      <c r="H115" s="17"/>
      <c r="I115" s="16"/>
      <c r="J115" s="15" t="s">
        <v>6</v>
      </c>
      <c r="K115" s="14" t="s">
        <v>3</v>
      </c>
      <c r="L115" s="13">
        <f>$G$115*M115</f>
        <v>14.622039228991435</v>
      </c>
      <c r="M115" s="12">
        <f>$N$123/($F$118-558160)*F115</f>
        <v>34102.368911486476</v>
      </c>
      <c r="N115" s="11"/>
      <c r="O115" s="324"/>
      <c r="P115" s="325"/>
      <c r="Q115" s="210" t="s">
        <v>6</v>
      </c>
      <c r="R115" s="14" t="s">
        <v>3</v>
      </c>
      <c r="S115" s="13">
        <f>$G$115*T115</f>
        <v>6.3851740804011459E-2</v>
      </c>
      <c r="T115" s="12">
        <f>$U$123/($F$118-558160)*F115</f>
        <v>148.91873742354929</v>
      </c>
      <c r="U115" s="219" t="s">
        <v>150</v>
      </c>
      <c r="V115" s="50"/>
      <c r="W115" s="16"/>
      <c r="X115" s="15" t="s">
        <v>6</v>
      </c>
      <c r="Y115" s="14" t="s">
        <v>3</v>
      </c>
      <c r="Z115" s="13">
        <f>$G$115*AA115</f>
        <v>13.887744705278317</v>
      </c>
      <c r="AA115" s="20">
        <f>$AB$123/($F$118-558160)*F115</f>
        <v>32389.804586826525</v>
      </c>
      <c r="AB115" s="11"/>
      <c r="AC115" s="17"/>
      <c r="AD115" s="16"/>
      <c r="AE115" s="15" t="s">
        <v>6</v>
      </c>
      <c r="AF115" s="14" t="s">
        <v>3</v>
      </c>
      <c r="AG115" s="13">
        <f>$G$115*AH115</f>
        <v>6.3851740804011459E-2</v>
      </c>
      <c r="AH115" s="12">
        <f>$AI$123/($F$118-558160)*F115</f>
        <v>148.91873742354929</v>
      </c>
      <c r="AI115" s="11"/>
      <c r="AJ115" s="17"/>
      <c r="AK115" s="16"/>
      <c r="AL115" s="15" t="s">
        <v>6</v>
      </c>
      <c r="AM115" s="14" t="s">
        <v>3</v>
      </c>
      <c r="AN115" s="13">
        <f>$G$115*AO115</f>
        <v>2.3625128758441081</v>
      </c>
      <c r="AO115" s="12">
        <f>$AP$122/($F$118-558160)*F115</f>
        <v>5509.9897072106132</v>
      </c>
      <c r="AP115" s="11"/>
      <c r="AQ115" s="4">
        <f t="shared" si="31"/>
        <v>-2.9172188131809662E-7</v>
      </c>
    </row>
    <row r="116" spans="1:43" ht="27" x14ac:dyDescent="0.2">
      <c r="A116" s="17"/>
      <c r="B116" s="16"/>
      <c r="C116" s="15" t="s">
        <v>5</v>
      </c>
      <c r="D116" s="14" t="s">
        <v>3</v>
      </c>
      <c r="E116" s="19">
        <v>13</v>
      </c>
      <c r="F116" s="19">
        <v>55500.000000000007</v>
      </c>
      <c r="G116" s="18">
        <f t="shared" si="25"/>
        <v>2.3423423423423422E-4</v>
      </c>
      <c r="H116" s="17"/>
      <c r="I116" s="16"/>
      <c r="J116" s="15" t="s">
        <v>5</v>
      </c>
      <c r="K116" s="14" t="s">
        <v>3</v>
      </c>
      <c r="L116" s="13">
        <f>$G$116*M116-0.1</f>
        <v>6.0318229024802807</v>
      </c>
      <c r="M116" s="12">
        <f>$N$123/($F$118-558160)*F116</f>
        <v>26178.167006742737</v>
      </c>
      <c r="N116" s="11"/>
      <c r="O116" s="324"/>
      <c r="P116" s="325"/>
      <c r="Q116" s="210" t="s">
        <v>5</v>
      </c>
      <c r="R116" s="14" t="s">
        <v>3</v>
      </c>
      <c r="S116" s="13">
        <f>$G$116*T116+0.1</f>
        <v>0.12677653646619835</v>
      </c>
      <c r="T116" s="12">
        <f>$U$123/($F$118-558160)*F116</f>
        <v>114.31521337492374</v>
      </c>
      <c r="U116" s="219" t="s">
        <v>150</v>
      </c>
      <c r="V116" s="50"/>
      <c r="W116" s="16"/>
      <c r="X116" s="15" t="s">
        <v>5</v>
      </c>
      <c r="Y116" s="14" t="s">
        <v>3</v>
      </c>
      <c r="Z116" s="13">
        <f>$G$116*AA116-0.1</f>
        <v>5.7238929409231654</v>
      </c>
      <c r="AA116" s="20">
        <f>$AB$123/($F$118-558160)*F116</f>
        <v>24863.542940095052</v>
      </c>
      <c r="AB116" s="11"/>
      <c r="AC116" s="17"/>
      <c r="AD116" s="16"/>
      <c r="AE116" s="15" t="s">
        <v>5</v>
      </c>
      <c r="AF116" s="14" t="s">
        <v>3</v>
      </c>
      <c r="AG116" s="13">
        <f>$G$116*AH116+0.1</f>
        <v>0.12677653646619835</v>
      </c>
      <c r="AH116" s="12">
        <f>$AI$123/($F$118-558160)*F116</f>
        <v>114.31521337492374</v>
      </c>
      <c r="AI116" s="11"/>
      <c r="AJ116" s="17"/>
      <c r="AK116" s="16"/>
      <c r="AL116" s="15" t="s">
        <v>5</v>
      </c>
      <c r="AM116" s="14" t="s">
        <v>3</v>
      </c>
      <c r="AN116" s="13">
        <f>$G$116*AO116</f>
        <v>0.99073120599914211</v>
      </c>
      <c r="AO116" s="12">
        <f>$AP$122/($F$118-558160)*F116</f>
        <v>4229.6601486886457</v>
      </c>
      <c r="AP116" s="11"/>
      <c r="AQ116" s="4">
        <f t="shared" si="31"/>
        <v>-1.2233498469793602E-7</v>
      </c>
    </row>
    <row r="117" spans="1:43" ht="27.75" thickBot="1" x14ac:dyDescent="0.25">
      <c r="A117" s="17"/>
      <c r="B117" s="16"/>
      <c r="C117" s="15" t="s">
        <v>4</v>
      </c>
      <c r="D117" s="14" t="s">
        <v>3</v>
      </c>
      <c r="E117" s="19">
        <v>30</v>
      </c>
      <c r="F117" s="19">
        <v>22200</v>
      </c>
      <c r="G117" s="18">
        <f t="shared" si="25"/>
        <v>1.3513513513513514E-3</v>
      </c>
      <c r="H117" s="17"/>
      <c r="I117" s="16"/>
      <c r="J117" s="15" t="s">
        <v>4</v>
      </c>
      <c r="K117" s="14" t="s">
        <v>3</v>
      </c>
      <c r="L117" s="13">
        <f>$G$117*M117</f>
        <v>14.150360544185261</v>
      </c>
      <c r="M117" s="12">
        <f>$N$123/($F$118-558160)*F117</f>
        <v>10471.266802697093</v>
      </c>
      <c r="N117" s="11"/>
      <c r="O117" s="10"/>
      <c r="P117" s="326"/>
      <c r="Q117" s="359" t="s">
        <v>4</v>
      </c>
      <c r="R117" s="224" t="s">
        <v>3</v>
      </c>
      <c r="S117" s="242">
        <f>$G$117*T117</f>
        <v>6.1792007229688507E-2</v>
      </c>
      <c r="T117" s="306">
        <f>$U$123/($F$118-558160)*F117</f>
        <v>45.726085349969495</v>
      </c>
      <c r="U117" s="227" t="s">
        <v>150</v>
      </c>
      <c r="V117" s="50"/>
      <c r="W117" s="16"/>
      <c r="X117" s="15" t="s">
        <v>4</v>
      </c>
      <c r="Y117" s="14" t="s">
        <v>3</v>
      </c>
      <c r="Z117" s="13">
        <f>$G$117*AA117</f>
        <v>13.439752940591919</v>
      </c>
      <c r="AA117" s="2">
        <f>$AB$123/($F$118-558160)*F117</f>
        <v>9945.4171760380195</v>
      </c>
      <c r="AB117" s="11"/>
      <c r="AC117" s="17"/>
      <c r="AD117" s="16"/>
      <c r="AE117" s="15" t="s">
        <v>4</v>
      </c>
      <c r="AF117" s="14" t="s">
        <v>3</v>
      </c>
      <c r="AG117" s="13">
        <f>$G$117*AH117</f>
        <v>6.1792007229688507E-2</v>
      </c>
      <c r="AH117" s="3">
        <f>$AI$123/($F$118-558160)*F117</f>
        <v>45.726085349969495</v>
      </c>
      <c r="AI117" s="11"/>
      <c r="AJ117" s="17"/>
      <c r="AK117" s="16"/>
      <c r="AL117" s="15" t="s">
        <v>4</v>
      </c>
      <c r="AM117" s="14" t="s">
        <v>3</v>
      </c>
      <c r="AN117" s="13">
        <f>$G$117*AO117</f>
        <v>2.2863027830749436</v>
      </c>
      <c r="AO117" s="12">
        <f>$AP$122/($F$118-558160)*F117</f>
        <v>1691.8640594754581</v>
      </c>
      <c r="AP117" s="11"/>
      <c r="AQ117" s="4">
        <f t="shared" si="31"/>
        <v>-2.8231150217550294E-7</v>
      </c>
    </row>
    <row r="118" spans="1:43" ht="15" hidden="1" thickBot="1" x14ac:dyDescent="0.25">
      <c r="A118" s="10"/>
      <c r="B118" s="9"/>
      <c r="C118" s="8" t="s">
        <v>2</v>
      </c>
      <c r="D118" s="7"/>
      <c r="E118" s="6"/>
      <c r="F118" s="6">
        <f>SUM(F90:F117)</f>
        <v>2434926.999475</v>
      </c>
      <c r="G118" s="5">
        <f>SUM(G110:G111)</f>
        <v>5.5066666666666667E-3</v>
      </c>
      <c r="H118" s="10"/>
      <c r="I118" s="9"/>
      <c r="J118" s="8" t="s">
        <v>2</v>
      </c>
      <c r="K118" s="7"/>
      <c r="L118" s="6"/>
      <c r="M118" s="6">
        <f>SUM(M90:M117)</f>
        <v>1172760.9814650966</v>
      </c>
      <c r="N118" s="5">
        <f>SUM(N110:N111)</f>
        <v>0</v>
      </c>
      <c r="O118" s="10"/>
      <c r="P118" s="9"/>
      <c r="Q118" s="300" t="s">
        <v>2</v>
      </c>
      <c r="R118" s="301"/>
      <c r="S118" s="302"/>
      <c r="T118" s="302">
        <f>SUM(T90:T117)</f>
        <v>5121.2294823803377</v>
      </c>
      <c r="U118" s="303">
        <f>SUM(U110:U111)</f>
        <v>0</v>
      </c>
      <c r="V118" s="38"/>
      <c r="W118" s="9"/>
      <c r="X118" s="8" t="s">
        <v>2</v>
      </c>
      <c r="Y118" s="7"/>
      <c r="Z118" s="6"/>
      <c r="AA118" s="6">
        <f>SUM(AA90:AA117)</f>
        <v>1070087.0663754356</v>
      </c>
      <c r="AB118" s="5">
        <f>SUM(AB110:AB111)</f>
        <v>0</v>
      </c>
      <c r="AC118" s="10"/>
      <c r="AD118" s="9"/>
      <c r="AE118" s="8" t="s">
        <v>2</v>
      </c>
      <c r="AF118" s="7"/>
      <c r="AG118" s="6"/>
      <c r="AH118" s="6">
        <f>SUM(AH90:AH117)</f>
        <v>4919.9430178180983</v>
      </c>
      <c r="AI118" s="5">
        <f>SUM(AI110:AI111)</f>
        <v>0</v>
      </c>
      <c r="AJ118" s="10"/>
      <c r="AK118" s="9"/>
      <c r="AL118" s="8" t="s">
        <v>2</v>
      </c>
      <c r="AM118" s="7"/>
      <c r="AN118" s="6"/>
      <c r="AO118" s="6">
        <f>SUM(AO90:AO117)</f>
        <v>182037.79879536631</v>
      </c>
      <c r="AP118" s="5">
        <f>SUM(AP110:AP111)</f>
        <v>0</v>
      </c>
      <c r="AQ118" s="4">
        <f t="shared" si="31"/>
        <v>0</v>
      </c>
    </row>
    <row r="119" spans="1:43" ht="15" hidden="1" thickBot="1" x14ac:dyDescent="0.25">
      <c r="A119" s="456" t="s">
        <v>1</v>
      </c>
      <c r="B119" s="457"/>
      <c r="C119" s="458"/>
      <c r="D119" s="458"/>
      <c r="E119" s="459"/>
      <c r="F119" s="452">
        <f>F11+F27+F39+F51+F64+F88+F118+F56</f>
        <v>79419999.003173232</v>
      </c>
      <c r="G119" s="454"/>
      <c r="H119" s="456" t="s">
        <v>1</v>
      </c>
      <c r="I119" s="457"/>
      <c r="J119" s="458"/>
      <c r="K119" s="458"/>
      <c r="L119" s="459"/>
      <c r="M119" s="452">
        <f>M11+M27+M39+M51+M64+M88+M118+M56</f>
        <v>37669664.163633719</v>
      </c>
      <c r="N119" s="454"/>
      <c r="O119" s="456" t="s">
        <v>1</v>
      </c>
      <c r="P119" s="457"/>
      <c r="Q119" s="458"/>
      <c r="R119" s="458"/>
      <c r="S119" s="499"/>
      <c r="T119" s="500">
        <f>T11+T27+T39+T51+T64+T88+T118+T56</f>
        <v>164496.35254861886</v>
      </c>
      <c r="U119" s="502"/>
      <c r="V119" s="456" t="s">
        <v>1</v>
      </c>
      <c r="W119" s="457"/>
      <c r="X119" s="458"/>
      <c r="Y119" s="458"/>
      <c r="Z119" s="459"/>
      <c r="AA119" s="452">
        <f>AA11+AA27+AA39+AA51+AA64+AA88+AA118+AA56</f>
        <v>35400860.563696675</v>
      </c>
      <c r="AB119" s="454"/>
      <c r="AC119" s="456" t="s">
        <v>1</v>
      </c>
      <c r="AD119" s="457"/>
      <c r="AE119" s="458"/>
      <c r="AF119" s="458"/>
      <c r="AG119" s="459"/>
      <c r="AH119" s="452">
        <f>AH11+AH27+AH39+AH51+AH64+AH88+AH118+AH56</f>
        <v>162762.57978711117</v>
      </c>
      <c r="AI119" s="454"/>
      <c r="AJ119" s="456" t="s">
        <v>1</v>
      </c>
      <c r="AK119" s="457"/>
      <c r="AL119" s="458"/>
      <c r="AM119" s="458"/>
      <c r="AN119" s="459"/>
      <c r="AO119" s="452">
        <f>AO11+AO27+AO39+AO51+AO64+AO88+AO118+AO56</f>
        <v>6022215.3592592096</v>
      </c>
      <c r="AP119" s="454"/>
      <c r="AQ119" s="4">
        <f t="shared" si="31"/>
        <v>0</v>
      </c>
    </row>
    <row r="120" spans="1:43" ht="15" hidden="1" thickBot="1" x14ac:dyDescent="0.25">
      <c r="A120" s="461" t="s">
        <v>0</v>
      </c>
      <c r="B120" s="462"/>
      <c r="C120" s="462"/>
      <c r="D120" s="462"/>
      <c r="E120" s="460"/>
      <c r="F120" s="453"/>
      <c r="G120" s="455"/>
      <c r="H120" s="461" t="s">
        <v>0</v>
      </c>
      <c r="I120" s="462"/>
      <c r="J120" s="462"/>
      <c r="K120" s="462"/>
      <c r="L120" s="460"/>
      <c r="M120" s="453"/>
      <c r="N120" s="455"/>
      <c r="O120" s="461" t="s">
        <v>0</v>
      </c>
      <c r="P120" s="462"/>
      <c r="Q120" s="462"/>
      <c r="R120" s="462"/>
      <c r="S120" s="460"/>
      <c r="T120" s="501"/>
      <c r="U120" s="455"/>
      <c r="V120" s="461" t="s">
        <v>0</v>
      </c>
      <c r="W120" s="462"/>
      <c r="X120" s="462"/>
      <c r="Y120" s="462"/>
      <c r="Z120" s="460"/>
      <c r="AA120" s="453"/>
      <c r="AB120" s="455"/>
      <c r="AC120" s="461" t="s">
        <v>0</v>
      </c>
      <c r="AD120" s="462"/>
      <c r="AE120" s="462"/>
      <c r="AF120" s="462"/>
      <c r="AG120" s="460"/>
      <c r="AH120" s="453"/>
      <c r="AI120" s="455"/>
      <c r="AJ120" s="461" t="s">
        <v>0</v>
      </c>
      <c r="AK120" s="462"/>
      <c r="AL120" s="462"/>
      <c r="AM120" s="462"/>
      <c r="AN120" s="460"/>
      <c r="AO120" s="453"/>
      <c r="AP120" s="455"/>
      <c r="AQ120" s="4">
        <f t="shared" si="31"/>
        <v>0</v>
      </c>
    </row>
    <row r="122" spans="1:43" x14ac:dyDescent="0.2">
      <c r="F122" s="2">
        <f>F118-F113</f>
        <v>1876767.0014749998</v>
      </c>
      <c r="M122" s="3">
        <v>37669664.158881456</v>
      </c>
      <c r="T122" s="3">
        <v>164496.35003878365</v>
      </c>
      <c r="AA122" s="3">
        <v>35400860.55780752</v>
      </c>
      <c r="AH122" s="3">
        <v>162762.57727727597</v>
      </c>
      <c r="AO122" s="3">
        <v>6022215.3592592105</v>
      </c>
      <c r="AP122" s="3">
        <f>($F$118-$F$113)/$G$2*L2</f>
        <v>143028.58713609679</v>
      </c>
    </row>
    <row r="123" spans="1:43" x14ac:dyDescent="0.2">
      <c r="M123" s="2">
        <f>M122-M119</f>
        <v>-4.7522634267807007E-3</v>
      </c>
      <c r="N123" s="1">
        <v>885230.99</v>
      </c>
      <c r="T123" s="2">
        <f>T122-T119</f>
        <v>-2.5098352052737027E-3</v>
      </c>
      <c r="U123" s="1">
        <v>3865.64</v>
      </c>
      <c r="AA123" s="2">
        <f>AA122-AA119</f>
        <v>-5.8891549706459045E-3</v>
      </c>
      <c r="AB123" s="1">
        <v>840776.16</v>
      </c>
      <c r="AH123" s="2">
        <f>AH122-AH119</f>
        <v>-2.5098352052737027E-3</v>
      </c>
      <c r="AI123" s="1">
        <v>3865.64</v>
      </c>
      <c r="AO123" s="2">
        <f>AO122-AO119</f>
        <v>0</v>
      </c>
    </row>
    <row r="124" spans="1:43" x14ac:dyDescent="0.2">
      <c r="F124" s="3">
        <v>79419999</v>
      </c>
    </row>
    <row r="125" spans="1:43" x14ac:dyDescent="0.2">
      <c r="F125" s="2">
        <f>F124-F119</f>
        <v>-3.1732320785522461E-3</v>
      </c>
      <c r="M125" s="2"/>
    </row>
  </sheetData>
  <mergeCells count="115">
    <mergeCell ref="R4:U4"/>
    <mergeCell ref="Q12:U12"/>
    <mergeCell ref="X12:AB12"/>
    <mergeCell ref="A8:A111"/>
    <mergeCell ref="B8:B29"/>
    <mergeCell ref="C8:G8"/>
    <mergeCell ref="H8:H111"/>
    <mergeCell ref="I8:I29"/>
    <mergeCell ref="J8:N8"/>
    <mergeCell ref="C9:G9"/>
    <mergeCell ref="J9:N9"/>
    <mergeCell ref="C12:G12"/>
    <mergeCell ref="J12:N12"/>
    <mergeCell ref="C28:G28"/>
    <mergeCell ref="J28:N28"/>
    <mergeCell ref="Q28:U28"/>
    <mergeCell ref="X28:AB28"/>
    <mergeCell ref="O8:O111"/>
    <mergeCell ref="P8:P29"/>
    <mergeCell ref="Q8:U8"/>
    <mergeCell ref="V8:V111"/>
    <mergeCell ref="W8:W29"/>
    <mergeCell ref="X8:AB8"/>
    <mergeCell ref="Q9:U9"/>
    <mergeCell ref="X9:AB9"/>
    <mergeCell ref="AE28:AI28"/>
    <mergeCell ref="AL28:AP28"/>
    <mergeCell ref="AC8:AC111"/>
    <mergeCell ref="AD8:AD29"/>
    <mergeCell ref="AE8:AI8"/>
    <mergeCell ref="AJ8:AJ111"/>
    <mergeCell ref="AK8:AK29"/>
    <mergeCell ref="AL8:AP8"/>
    <mergeCell ref="AE9:AI9"/>
    <mergeCell ref="AL9:AP9"/>
    <mergeCell ref="AE12:AI12"/>
    <mergeCell ref="AL12:AP12"/>
    <mergeCell ref="AL31:AP31"/>
    <mergeCell ref="AL52:AP52"/>
    <mergeCell ref="X57:AB57"/>
    <mergeCell ref="AE57:AI57"/>
    <mergeCell ref="AL57:AP57"/>
    <mergeCell ref="X40:AB40"/>
    <mergeCell ref="AE40:AI40"/>
    <mergeCell ref="AL40:AP40"/>
    <mergeCell ref="X52:AB52"/>
    <mergeCell ref="AE52:AI52"/>
    <mergeCell ref="B30:B111"/>
    <mergeCell ref="C30:G30"/>
    <mergeCell ref="I30:I111"/>
    <mergeCell ref="J30:N30"/>
    <mergeCell ref="P30:P111"/>
    <mergeCell ref="Q30:U30"/>
    <mergeCell ref="C31:G31"/>
    <mergeCell ref="J31:N31"/>
    <mergeCell ref="Q31:U31"/>
    <mergeCell ref="C40:G40"/>
    <mergeCell ref="C57:G57"/>
    <mergeCell ref="J57:N57"/>
    <mergeCell ref="Q57:U57"/>
    <mergeCell ref="J40:N40"/>
    <mergeCell ref="Q40:U40"/>
    <mergeCell ref="C52:G52"/>
    <mergeCell ref="J52:N52"/>
    <mergeCell ref="Q52:U52"/>
    <mergeCell ref="W30:W111"/>
    <mergeCell ref="X30:AB30"/>
    <mergeCell ref="AD30:AD111"/>
    <mergeCell ref="AE30:AI30"/>
    <mergeCell ref="AK30:AK111"/>
    <mergeCell ref="AL30:AP30"/>
    <mergeCell ref="X31:AB31"/>
    <mergeCell ref="AE31:AI31"/>
    <mergeCell ref="C89:G89"/>
    <mergeCell ref="J89:N89"/>
    <mergeCell ref="Q89:U89"/>
    <mergeCell ref="X89:AB89"/>
    <mergeCell ref="AE89:AI89"/>
    <mergeCell ref="AL89:AP89"/>
    <mergeCell ref="C65:G65"/>
    <mergeCell ref="J65:N65"/>
    <mergeCell ref="Q65:U65"/>
    <mergeCell ref="X65:AB65"/>
    <mergeCell ref="AE65:AI65"/>
    <mergeCell ref="AL65:AP65"/>
    <mergeCell ref="M119:M120"/>
    <mergeCell ref="N119:N120"/>
    <mergeCell ref="O119:R119"/>
    <mergeCell ref="S119:S120"/>
    <mergeCell ref="T119:T120"/>
    <mergeCell ref="U119:U120"/>
    <mergeCell ref="O120:R120"/>
    <mergeCell ref="A119:D119"/>
    <mergeCell ref="E119:E120"/>
    <mergeCell ref="F119:F120"/>
    <mergeCell ref="G119:G120"/>
    <mergeCell ref="H119:K119"/>
    <mergeCell ref="L119:L120"/>
    <mergeCell ref="A120:D120"/>
    <mergeCell ref="H120:K120"/>
    <mergeCell ref="AH119:AH120"/>
    <mergeCell ref="AI119:AI120"/>
    <mergeCell ref="AJ119:AM119"/>
    <mergeCell ref="AN119:AN120"/>
    <mergeCell ref="AO119:AO120"/>
    <mergeCell ref="AP119:AP120"/>
    <mergeCell ref="AJ120:AM120"/>
    <mergeCell ref="V119:Y119"/>
    <mergeCell ref="Z119:Z120"/>
    <mergeCell ref="AA119:AA120"/>
    <mergeCell ref="AB119:AB120"/>
    <mergeCell ref="AC119:AF119"/>
    <mergeCell ref="AG119:AG120"/>
    <mergeCell ref="V120:Y120"/>
    <mergeCell ref="AC120:AF120"/>
  </mergeCells>
  <pageMargins left="0.78740157480314965" right="0.31496062992125984" top="0.35433070866141736" bottom="0.35433070866141736" header="0.31496062992125984" footer="0.31496062992125984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8"/>
  <sheetViews>
    <sheetView view="pageBreakPreview" topLeftCell="V1" zoomScaleNormal="100" zoomScaleSheetLayoutView="100" workbookViewId="0">
      <pane ySplit="8" topLeftCell="A111" activePane="bottomLeft" state="frozen"/>
      <selection activeCell="B1" sqref="B1"/>
      <selection pane="bottomLeft" activeCell="Y4" sqref="Y4:AB4"/>
    </sheetView>
  </sheetViews>
  <sheetFormatPr defaultRowHeight="14.25" outlineLevelRow="1" outlineLevelCol="1" x14ac:dyDescent="0.2"/>
  <cols>
    <col min="1" max="1" width="20.5703125" style="1" hidden="1" customWidth="1" outlineLevel="1"/>
    <col min="2" max="2" width="9.85546875" style="1" hidden="1" customWidth="1" outlineLevel="1"/>
    <col min="3" max="3" width="26.140625" style="1" hidden="1" customWidth="1" outlineLevel="1"/>
    <col min="4" max="4" width="21.85546875" style="1" hidden="1" customWidth="1" outlineLevel="1"/>
    <col min="5" max="6" width="18.5703125" style="1" hidden="1" customWidth="1" outlineLevel="1"/>
    <col min="7" max="7" width="21.5703125" style="1" hidden="1" customWidth="1" outlineLevel="1"/>
    <col min="8" max="8" width="20.5703125" style="1" hidden="1" customWidth="1"/>
    <col min="9" max="9" width="9.85546875" style="1" hidden="1" customWidth="1"/>
    <col min="10" max="10" width="26.140625" style="1" hidden="1" customWidth="1"/>
    <col min="11" max="11" width="21.85546875" style="1" hidden="1" customWidth="1"/>
    <col min="12" max="13" width="18.5703125" style="1" hidden="1" customWidth="1"/>
    <col min="14" max="14" width="21.5703125" style="1" hidden="1" customWidth="1"/>
    <col min="15" max="15" width="17.7109375" style="1" hidden="1" customWidth="1"/>
    <col min="16" max="16" width="17.28515625" style="1" hidden="1" customWidth="1"/>
    <col min="17" max="17" width="29.140625" style="1" hidden="1" customWidth="1"/>
    <col min="18" max="20" width="21.5703125" style="1" hidden="1" customWidth="1"/>
    <col min="21" max="21" width="15.7109375" style="1" hidden="1" customWidth="1"/>
    <col min="22" max="22" width="18.5703125" style="1" customWidth="1"/>
    <col min="23" max="23" width="15.7109375" style="1" customWidth="1"/>
    <col min="24" max="24" width="25.5703125" style="1" customWidth="1"/>
    <col min="25" max="25" width="16.28515625" style="1" customWidth="1"/>
    <col min="26" max="26" width="15.28515625" style="1" customWidth="1"/>
    <col min="27" max="27" width="23" style="1" hidden="1" customWidth="1"/>
    <col min="28" max="28" width="26.5703125" style="1" customWidth="1"/>
    <col min="29" max="29" width="19.5703125" style="1" hidden="1" customWidth="1"/>
    <col min="30" max="30" width="17.42578125" style="1" hidden="1" customWidth="1"/>
    <col min="31" max="31" width="32.42578125" style="1" hidden="1" customWidth="1"/>
    <col min="32" max="33" width="13.140625" style="1" hidden="1" customWidth="1"/>
    <col min="34" max="34" width="22.42578125" style="1" hidden="1" customWidth="1"/>
    <col min="35" max="35" width="16" style="1" hidden="1" customWidth="1"/>
    <col min="36" max="36" width="15.7109375" style="1" hidden="1" customWidth="1"/>
    <col min="37" max="37" width="16" style="1" hidden="1" customWidth="1"/>
    <col min="38" max="38" width="29.28515625" style="1" hidden="1" customWidth="1"/>
    <col min="39" max="40" width="16" style="1" hidden="1" customWidth="1"/>
    <col min="41" max="41" width="21" style="1" hidden="1" customWidth="1"/>
    <col min="42" max="42" width="19.85546875" style="1" hidden="1" customWidth="1"/>
    <col min="43" max="43" width="16.5703125" style="1" hidden="1" customWidth="1"/>
    <col min="44" max="16384" width="9.140625" style="1"/>
  </cols>
  <sheetData>
    <row r="1" spans="1:44" ht="45.75" hidden="1" outlineLevel="1" thickBot="1" x14ac:dyDescent="0.3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141"/>
      <c r="S1" s="141"/>
      <c r="AR1" s="140"/>
    </row>
    <row r="2" spans="1:44" ht="15.75" hidden="1" outlineLevel="1" thickBot="1" x14ac:dyDescent="0.3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SUM(AT2:AX2)</f>
        <v>0</v>
      </c>
      <c r="O2" s="141"/>
      <c r="P2" s="141"/>
      <c r="Q2" s="141"/>
      <c r="R2" s="141"/>
      <c r="S2" s="141"/>
      <c r="AR2" s="140"/>
    </row>
    <row r="3" spans="1:44" ht="15" outlineLevel="1" x14ac:dyDescent="0.25">
      <c r="G3" s="141"/>
      <c r="H3" s="141"/>
      <c r="I3" s="141"/>
      <c r="J3" s="141"/>
      <c r="K3" s="141"/>
      <c r="L3" s="141"/>
      <c r="N3" s="141"/>
      <c r="O3" s="141"/>
      <c r="P3" s="141"/>
      <c r="Q3" s="141"/>
      <c r="R3" s="141"/>
      <c r="S3" s="141"/>
      <c r="Y3" s="357" t="s">
        <v>172</v>
      </c>
      <c r="Z3" s="357"/>
      <c r="AA3" s="357"/>
      <c r="AB3" s="357"/>
      <c r="AR3" s="140"/>
    </row>
    <row r="4" spans="1:44" ht="21" customHeight="1" outlineLevel="1" x14ac:dyDescent="0.25">
      <c r="G4" s="141"/>
      <c r="H4" s="141"/>
      <c r="I4" s="141"/>
      <c r="J4" s="141"/>
      <c r="K4" s="141"/>
      <c r="L4" s="141"/>
      <c r="N4" s="141"/>
      <c r="O4" s="141"/>
      <c r="P4" s="141"/>
      <c r="Q4" s="141"/>
      <c r="R4" s="141"/>
      <c r="S4" s="141"/>
      <c r="Y4" s="513" t="s">
        <v>166</v>
      </c>
      <c r="Z4" s="513"/>
      <c r="AA4" s="513"/>
      <c r="AB4" s="513"/>
      <c r="AR4" s="140"/>
    </row>
    <row r="5" spans="1:44" ht="15" outlineLevel="1" x14ac:dyDescent="0.25">
      <c r="G5" s="141"/>
      <c r="H5" s="141"/>
      <c r="I5" s="141"/>
      <c r="J5" s="141"/>
      <c r="K5" s="141"/>
      <c r="L5" s="141"/>
      <c r="N5" s="141"/>
      <c r="O5" s="141"/>
      <c r="P5" s="141"/>
      <c r="Q5" s="141"/>
      <c r="R5" s="141"/>
      <c r="S5" s="141"/>
      <c r="Y5" s="357" t="s">
        <v>167</v>
      </c>
      <c r="Z5" s="357"/>
      <c r="AA5" s="357"/>
      <c r="AB5" s="357"/>
      <c r="AR5" s="140"/>
    </row>
    <row r="6" spans="1:44" ht="37.5" customHeight="1" outlineLevel="1" x14ac:dyDescent="0.25">
      <c r="G6" s="141"/>
      <c r="H6" s="141"/>
      <c r="I6" s="141"/>
      <c r="J6" s="141"/>
      <c r="K6" s="141"/>
      <c r="L6" s="141"/>
      <c r="N6" s="141"/>
      <c r="O6" s="141"/>
      <c r="P6" s="141"/>
      <c r="Q6" s="141"/>
      <c r="R6" s="141"/>
      <c r="S6" s="141"/>
      <c r="Y6" s="490" t="s">
        <v>168</v>
      </c>
      <c r="Z6" s="490"/>
      <c r="AA6" s="490"/>
      <c r="AB6" s="490"/>
      <c r="AR6" s="140"/>
    </row>
    <row r="7" spans="1:44" ht="15.75" outlineLevel="1" thickBot="1" x14ac:dyDescent="0.3">
      <c r="G7" s="141"/>
      <c r="H7" s="141"/>
      <c r="I7" s="141"/>
      <c r="J7" s="141"/>
      <c r="K7" s="141"/>
      <c r="L7" s="141"/>
      <c r="N7" s="141"/>
      <c r="O7" s="141"/>
      <c r="P7" s="141"/>
      <c r="Q7" s="141"/>
      <c r="R7" s="141"/>
      <c r="S7" s="141"/>
      <c r="AR7" s="140"/>
    </row>
    <row r="8" spans="1:44" ht="57.75" thickBot="1" x14ac:dyDescent="0.25">
      <c r="A8" s="139" t="s">
        <v>116</v>
      </c>
      <c r="B8" s="138" t="s">
        <v>115</v>
      </c>
      <c r="C8" s="138" t="s">
        <v>114</v>
      </c>
      <c r="D8" s="138" t="s">
        <v>113</v>
      </c>
      <c r="E8" s="138" t="s">
        <v>112</v>
      </c>
      <c r="F8" s="138" t="s">
        <v>111</v>
      </c>
      <c r="G8" s="138" t="s">
        <v>110</v>
      </c>
      <c r="H8" s="139" t="s">
        <v>116</v>
      </c>
      <c r="I8" s="138" t="s">
        <v>115</v>
      </c>
      <c r="J8" s="138" t="s">
        <v>114</v>
      </c>
      <c r="K8" s="138" t="s">
        <v>113</v>
      </c>
      <c r="L8" s="138" t="s">
        <v>112</v>
      </c>
      <c r="M8" s="138" t="s">
        <v>111</v>
      </c>
      <c r="N8" s="138" t="s">
        <v>110</v>
      </c>
      <c r="O8" s="139" t="s">
        <v>116</v>
      </c>
      <c r="P8" s="138" t="s">
        <v>115</v>
      </c>
      <c r="Q8" s="138" t="s">
        <v>114</v>
      </c>
      <c r="R8" s="138" t="s">
        <v>113</v>
      </c>
      <c r="S8" s="138" t="s">
        <v>112</v>
      </c>
      <c r="T8" s="138" t="s">
        <v>111</v>
      </c>
      <c r="U8" s="138" t="s">
        <v>110</v>
      </c>
      <c r="V8" s="139" t="s">
        <v>116</v>
      </c>
      <c r="W8" s="138" t="s">
        <v>115</v>
      </c>
      <c r="X8" s="138" t="s">
        <v>114</v>
      </c>
      <c r="Y8" s="138" t="s">
        <v>113</v>
      </c>
      <c r="Z8" s="138" t="s">
        <v>112</v>
      </c>
      <c r="AA8" s="138" t="s">
        <v>111</v>
      </c>
      <c r="AB8" s="138" t="s">
        <v>110</v>
      </c>
      <c r="AC8" s="139" t="s">
        <v>116</v>
      </c>
      <c r="AD8" s="138" t="s">
        <v>115</v>
      </c>
      <c r="AE8" s="138" t="s">
        <v>114</v>
      </c>
      <c r="AF8" s="138" t="s">
        <v>113</v>
      </c>
      <c r="AG8" s="138" t="s">
        <v>112</v>
      </c>
      <c r="AH8" s="138" t="s">
        <v>111</v>
      </c>
      <c r="AI8" s="138" t="s">
        <v>110</v>
      </c>
      <c r="AJ8" s="139" t="s">
        <v>116</v>
      </c>
      <c r="AK8" s="138" t="s">
        <v>115</v>
      </c>
      <c r="AL8" s="138" t="s">
        <v>114</v>
      </c>
      <c r="AM8" s="138" t="s">
        <v>113</v>
      </c>
      <c r="AN8" s="138" t="s">
        <v>112</v>
      </c>
      <c r="AO8" s="138" t="s">
        <v>111</v>
      </c>
      <c r="AP8" s="138" t="s">
        <v>110</v>
      </c>
    </row>
    <row r="9" spans="1:44" ht="15" thickBot="1" x14ac:dyDescent="0.25">
      <c r="A9" s="137">
        <v>1</v>
      </c>
      <c r="B9" s="136">
        <v>2</v>
      </c>
      <c r="C9" s="136">
        <v>3</v>
      </c>
      <c r="D9" s="136">
        <v>4</v>
      </c>
      <c r="E9" s="136">
        <v>5</v>
      </c>
      <c r="F9" s="136"/>
      <c r="G9" s="136">
        <v>6</v>
      </c>
      <c r="H9" s="137">
        <v>1</v>
      </c>
      <c r="I9" s="136">
        <v>2</v>
      </c>
      <c r="J9" s="136">
        <v>3</v>
      </c>
      <c r="K9" s="136">
        <v>4</v>
      </c>
      <c r="L9" s="136">
        <v>5</v>
      </c>
      <c r="M9" s="136"/>
      <c r="N9" s="136">
        <v>6</v>
      </c>
      <c r="O9" s="137">
        <v>1</v>
      </c>
      <c r="P9" s="136">
        <v>2</v>
      </c>
      <c r="Q9" s="136">
        <v>3</v>
      </c>
      <c r="R9" s="136">
        <v>4</v>
      </c>
      <c r="S9" s="136">
        <v>5</v>
      </c>
      <c r="T9" s="136"/>
      <c r="U9" s="136">
        <v>6</v>
      </c>
      <c r="V9" s="137">
        <v>1</v>
      </c>
      <c r="W9" s="136">
        <v>2</v>
      </c>
      <c r="X9" s="136">
        <v>3</v>
      </c>
      <c r="Y9" s="136">
        <v>4</v>
      </c>
      <c r="Z9" s="136">
        <v>5</v>
      </c>
      <c r="AA9" s="136"/>
      <c r="AB9" s="136">
        <v>6</v>
      </c>
      <c r="AC9" s="137">
        <v>1</v>
      </c>
      <c r="AD9" s="136">
        <v>2</v>
      </c>
      <c r="AE9" s="136">
        <v>3</v>
      </c>
      <c r="AF9" s="136">
        <v>4</v>
      </c>
      <c r="AG9" s="136">
        <v>5</v>
      </c>
      <c r="AH9" s="136"/>
      <c r="AI9" s="136">
        <v>6</v>
      </c>
      <c r="AJ9" s="137">
        <v>1</v>
      </c>
      <c r="AK9" s="136">
        <v>2</v>
      </c>
      <c r="AL9" s="136">
        <v>3</v>
      </c>
      <c r="AM9" s="136">
        <v>4</v>
      </c>
      <c r="AN9" s="136">
        <v>5</v>
      </c>
      <c r="AO9" s="136"/>
      <c r="AP9" s="136">
        <v>6</v>
      </c>
    </row>
    <row r="10" spans="1:44" ht="15" thickBot="1" x14ac:dyDescent="0.25">
      <c r="A10" s="487" t="s">
        <v>109</v>
      </c>
      <c r="B10" s="463" t="s">
        <v>108</v>
      </c>
      <c r="C10" s="466" t="s">
        <v>100</v>
      </c>
      <c r="D10" s="466"/>
      <c r="E10" s="466"/>
      <c r="F10" s="466"/>
      <c r="G10" s="467"/>
      <c r="H10" s="487" t="s">
        <v>109</v>
      </c>
      <c r="I10" s="463" t="s">
        <v>108</v>
      </c>
      <c r="J10" s="466" t="s">
        <v>100</v>
      </c>
      <c r="K10" s="466"/>
      <c r="L10" s="466"/>
      <c r="M10" s="466"/>
      <c r="N10" s="467"/>
      <c r="O10" s="487" t="s">
        <v>107</v>
      </c>
      <c r="P10" s="463" t="s">
        <v>106</v>
      </c>
      <c r="Q10" s="466" t="s">
        <v>100</v>
      </c>
      <c r="R10" s="466"/>
      <c r="S10" s="466"/>
      <c r="T10" s="466"/>
      <c r="U10" s="466"/>
      <c r="V10" s="511" t="s">
        <v>154</v>
      </c>
      <c r="W10" s="493" t="s">
        <v>155</v>
      </c>
      <c r="X10" s="466" t="s">
        <v>100</v>
      </c>
      <c r="Y10" s="466"/>
      <c r="Z10" s="466"/>
      <c r="AA10" s="466"/>
      <c r="AB10" s="467"/>
      <c r="AC10" s="469" t="s">
        <v>104</v>
      </c>
      <c r="AD10" s="463" t="s">
        <v>103</v>
      </c>
      <c r="AE10" s="466" t="s">
        <v>100</v>
      </c>
      <c r="AF10" s="466"/>
      <c r="AG10" s="466"/>
      <c r="AH10" s="466"/>
      <c r="AI10" s="467"/>
      <c r="AJ10" s="487" t="s">
        <v>102</v>
      </c>
      <c r="AK10" s="463" t="s">
        <v>101</v>
      </c>
      <c r="AL10" s="466" t="s">
        <v>100</v>
      </c>
      <c r="AM10" s="466"/>
      <c r="AN10" s="466"/>
      <c r="AO10" s="466"/>
      <c r="AP10" s="467"/>
    </row>
    <row r="11" spans="1:44" ht="15" thickBot="1" x14ac:dyDescent="0.25">
      <c r="A11" s="488"/>
      <c r="B11" s="464"/>
      <c r="C11" s="466" t="s">
        <v>99</v>
      </c>
      <c r="D11" s="468"/>
      <c r="E11" s="466"/>
      <c r="F11" s="466"/>
      <c r="G11" s="467"/>
      <c r="H11" s="488"/>
      <c r="I11" s="464"/>
      <c r="J11" s="466" t="s">
        <v>99</v>
      </c>
      <c r="K11" s="466"/>
      <c r="L11" s="466"/>
      <c r="M11" s="468"/>
      <c r="N11" s="467"/>
      <c r="O11" s="488"/>
      <c r="P11" s="464"/>
      <c r="Q11" s="466" t="s">
        <v>99</v>
      </c>
      <c r="R11" s="466"/>
      <c r="S11" s="466"/>
      <c r="T11" s="468"/>
      <c r="U11" s="466"/>
      <c r="V11" s="512"/>
      <c r="W11" s="494"/>
      <c r="X11" s="468" t="s">
        <v>99</v>
      </c>
      <c r="Y11" s="468"/>
      <c r="Z11" s="468"/>
      <c r="AA11" s="468"/>
      <c r="AB11" s="469"/>
      <c r="AC11" s="472"/>
      <c r="AD11" s="464"/>
      <c r="AE11" s="466" t="s">
        <v>99</v>
      </c>
      <c r="AF11" s="466"/>
      <c r="AG11" s="466"/>
      <c r="AH11" s="468"/>
      <c r="AI11" s="467"/>
      <c r="AJ11" s="488"/>
      <c r="AK11" s="464"/>
      <c r="AL11" s="466" t="s">
        <v>99</v>
      </c>
      <c r="AM11" s="466"/>
      <c r="AN11" s="466"/>
      <c r="AO11" s="468"/>
      <c r="AP11" s="467"/>
    </row>
    <row r="12" spans="1:44" ht="29.25" thickBot="1" x14ac:dyDescent="0.25">
      <c r="A12" s="488"/>
      <c r="B12" s="464"/>
      <c r="C12" s="9" t="s">
        <v>98</v>
      </c>
      <c r="D12" s="31" t="s">
        <v>37</v>
      </c>
      <c r="E12" s="38">
        <v>85.1</v>
      </c>
      <c r="F12" s="135">
        <v>46371030</v>
      </c>
      <c r="G12" s="133">
        <f>E12/F12</f>
        <v>1.8351975360478298E-6</v>
      </c>
      <c r="H12" s="488"/>
      <c r="I12" s="464"/>
      <c r="J12" s="38" t="s">
        <v>98</v>
      </c>
      <c r="K12" s="31" t="s">
        <v>37</v>
      </c>
      <c r="L12" s="132">
        <f>$G$12*M12</f>
        <v>40.139855818743563</v>
      </c>
      <c r="M12" s="20">
        <f>$F$12/$G$2*H2</f>
        <v>21872226.302780639</v>
      </c>
      <c r="N12" s="38"/>
      <c r="O12" s="488"/>
      <c r="P12" s="464"/>
      <c r="Q12" s="38" t="s">
        <v>98</v>
      </c>
      <c r="R12" s="31" t="s">
        <v>37</v>
      </c>
      <c r="S12" s="132">
        <f>$G$12*T12</f>
        <v>0.17528321318228629</v>
      </c>
      <c r="T12" s="20">
        <f>$F$12/$G$2*I2</f>
        <v>95511.905252317199</v>
      </c>
      <c r="U12" s="328"/>
      <c r="V12" s="512"/>
      <c r="W12" s="494"/>
      <c r="X12" s="124" t="s">
        <v>98</v>
      </c>
      <c r="Y12" s="31" t="s">
        <v>37</v>
      </c>
      <c r="Z12" s="41">
        <f>$G$12*AA12</f>
        <v>38.124098867147268</v>
      </c>
      <c r="AA12" s="20">
        <f>$F$12/$G$2*J2</f>
        <v>20773839.39237899</v>
      </c>
      <c r="AB12" s="71"/>
      <c r="AC12" s="472"/>
      <c r="AD12" s="464"/>
      <c r="AE12" s="38" t="s">
        <v>98</v>
      </c>
      <c r="AF12" s="31" t="s">
        <v>37</v>
      </c>
      <c r="AG12" s="131">
        <f>$G$12*AH12</f>
        <v>0.17528321318228629</v>
      </c>
      <c r="AH12" s="20">
        <f>$F$12/$G$2*K2</f>
        <v>95511.905252317199</v>
      </c>
      <c r="AI12" s="38"/>
      <c r="AJ12" s="488"/>
      <c r="AK12" s="464"/>
      <c r="AL12" s="38" t="s">
        <v>98</v>
      </c>
      <c r="AM12" s="31" t="s">
        <v>37</v>
      </c>
      <c r="AN12" s="131">
        <f>$G$12*AO12</f>
        <v>6.485478887744593</v>
      </c>
      <c r="AO12" s="20">
        <f>$F$12/$G$2*L2</f>
        <v>3533940.4943357361</v>
      </c>
      <c r="AP12" s="38"/>
      <c r="AQ12" s="4">
        <f t="shared" ref="AQ12:AQ43" si="0">E12-L12-S12-Z12-AG12-AN12</f>
        <v>0</v>
      </c>
    </row>
    <row r="13" spans="1:44" ht="29.25" thickBot="1" x14ac:dyDescent="0.25">
      <c r="A13" s="488"/>
      <c r="B13" s="464"/>
      <c r="C13" s="9" t="s">
        <v>97</v>
      </c>
      <c r="D13" s="31" t="s">
        <v>37</v>
      </c>
      <c r="E13" s="38">
        <v>85.1</v>
      </c>
      <c r="F13" s="134">
        <f>SUM(F12)</f>
        <v>46371030</v>
      </c>
      <c r="G13" s="133">
        <f>E13/F13</f>
        <v>1.8351975360478298E-6</v>
      </c>
      <c r="H13" s="488"/>
      <c r="I13" s="464"/>
      <c r="J13" s="38" t="s">
        <v>97</v>
      </c>
      <c r="K13" s="31" t="s">
        <v>37</v>
      </c>
      <c r="L13" s="132">
        <f>$G$13*M13</f>
        <v>40.139855818743563</v>
      </c>
      <c r="M13" s="130">
        <f>M12</f>
        <v>21872226.302780639</v>
      </c>
      <c r="N13" s="38"/>
      <c r="O13" s="488"/>
      <c r="P13" s="464"/>
      <c r="Q13" s="38" t="s">
        <v>97</v>
      </c>
      <c r="R13" s="31" t="s">
        <v>37</v>
      </c>
      <c r="S13" s="132">
        <f>$G$13*T13</f>
        <v>0.17528321318228629</v>
      </c>
      <c r="T13" s="130">
        <f>SUM(T12)</f>
        <v>95511.905252317199</v>
      </c>
      <c r="U13" s="328"/>
      <c r="V13" s="512"/>
      <c r="W13" s="494"/>
      <c r="X13" s="124" t="s">
        <v>97</v>
      </c>
      <c r="Y13" s="31" t="s">
        <v>37</v>
      </c>
      <c r="Z13" s="41">
        <f>$G$13*AA13</f>
        <v>38.124098867147268</v>
      </c>
      <c r="AA13" s="130">
        <f>SUM(AA12)</f>
        <v>20773839.39237899</v>
      </c>
      <c r="AB13" s="71"/>
      <c r="AC13" s="472"/>
      <c r="AD13" s="464"/>
      <c r="AE13" s="38" t="s">
        <v>97</v>
      </c>
      <c r="AF13" s="31" t="s">
        <v>37</v>
      </c>
      <c r="AG13" s="131">
        <f>$G$13*AH13</f>
        <v>0.17528321318228629</v>
      </c>
      <c r="AH13" s="130">
        <f>SUM(AH12)</f>
        <v>95511.905252317199</v>
      </c>
      <c r="AI13" s="38"/>
      <c r="AJ13" s="488"/>
      <c r="AK13" s="464"/>
      <c r="AL13" s="38" t="s">
        <v>97</v>
      </c>
      <c r="AM13" s="31" t="s">
        <v>37</v>
      </c>
      <c r="AN13" s="131">
        <f>$G$13*AO13</f>
        <v>6.485478887744593</v>
      </c>
      <c r="AO13" s="130">
        <f>SUM(AO12)</f>
        <v>3533940.4943357361</v>
      </c>
      <c r="AP13" s="38"/>
      <c r="AQ13" s="4">
        <f t="shared" si="0"/>
        <v>0</v>
      </c>
    </row>
    <row r="14" spans="1:44" x14ac:dyDescent="0.2">
      <c r="A14" s="488"/>
      <c r="B14" s="464"/>
      <c r="C14" s="468" t="s">
        <v>96</v>
      </c>
      <c r="D14" s="471"/>
      <c r="E14" s="468"/>
      <c r="F14" s="468"/>
      <c r="G14" s="469"/>
      <c r="H14" s="488"/>
      <c r="I14" s="464"/>
      <c r="J14" s="468" t="s">
        <v>96</v>
      </c>
      <c r="K14" s="468"/>
      <c r="L14" s="468"/>
      <c r="M14" s="471"/>
      <c r="N14" s="469"/>
      <c r="O14" s="488"/>
      <c r="P14" s="464"/>
      <c r="Q14" s="468" t="s">
        <v>96</v>
      </c>
      <c r="R14" s="468"/>
      <c r="S14" s="468"/>
      <c r="T14" s="471"/>
      <c r="U14" s="468"/>
      <c r="V14" s="512"/>
      <c r="W14" s="494"/>
      <c r="X14" s="471" t="s">
        <v>96</v>
      </c>
      <c r="Y14" s="471"/>
      <c r="Z14" s="471"/>
      <c r="AA14" s="471"/>
      <c r="AB14" s="472"/>
      <c r="AC14" s="472"/>
      <c r="AD14" s="464"/>
      <c r="AE14" s="468" t="s">
        <v>96</v>
      </c>
      <c r="AF14" s="468"/>
      <c r="AG14" s="468"/>
      <c r="AH14" s="471"/>
      <c r="AI14" s="469"/>
      <c r="AJ14" s="488"/>
      <c r="AK14" s="464"/>
      <c r="AL14" s="468" t="s">
        <v>96</v>
      </c>
      <c r="AM14" s="468"/>
      <c r="AN14" s="468"/>
      <c r="AO14" s="471"/>
      <c r="AP14" s="469"/>
      <c r="AQ14" s="4">
        <f t="shared" si="0"/>
        <v>0</v>
      </c>
    </row>
    <row r="15" spans="1:44" ht="142.5" x14ac:dyDescent="0.2">
      <c r="A15" s="488"/>
      <c r="B15" s="465"/>
      <c r="C15" s="31" t="s">
        <v>95</v>
      </c>
      <c r="D15" s="31" t="s">
        <v>10</v>
      </c>
      <c r="E15" s="129">
        <v>5</v>
      </c>
      <c r="F15" s="32">
        <v>16000</v>
      </c>
      <c r="G15" s="31">
        <f>E15/F15</f>
        <v>3.1250000000000001E-4</v>
      </c>
      <c r="H15" s="488"/>
      <c r="I15" s="465"/>
      <c r="J15" s="31" t="s">
        <v>95</v>
      </c>
      <c r="K15" s="31" t="s">
        <v>10</v>
      </c>
      <c r="L15" s="13">
        <f>$G$15*M15-0.1</f>
        <v>2.2583934088568483</v>
      </c>
      <c r="M15" s="12">
        <f t="shared" ref="M15:M28" si="1">$M$29/$F$29*F15</f>
        <v>7546.8589083419147</v>
      </c>
      <c r="N15" s="31"/>
      <c r="O15" s="472"/>
      <c r="P15" s="465"/>
      <c r="Q15" s="31" t="s">
        <v>95</v>
      </c>
      <c r="R15" s="31" t="s">
        <v>10</v>
      </c>
      <c r="S15" s="13">
        <f>$G$15*T15+0.1</f>
        <v>0.11029866117404738</v>
      </c>
      <c r="T15" s="12">
        <f t="shared" ref="T15:T28" si="2">$T$29/$F$29*F15</f>
        <v>32.955715756951598</v>
      </c>
      <c r="U15" s="371"/>
      <c r="V15" s="512"/>
      <c r="W15" s="494"/>
      <c r="X15" s="124" t="s">
        <v>95</v>
      </c>
      <c r="Y15" s="31" t="s">
        <v>10</v>
      </c>
      <c r="Z15" s="13">
        <f>$G$15*AA15</f>
        <v>2.2399588053553039</v>
      </c>
      <c r="AA15" s="12">
        <f t="shared" ref="AA15:AA28" si="3">$AA$29/$F$29*F15</f>
        <v>7167.868177136972</v>
      </c>
      <c r="AB15" s="71"/>
      <c r="AC15" s="472"/>
      <c r="AD15" s="465"/>
      <c r="AE15" s="31" t="s">
        <v>95</v>
      </c>
      <c r="AF15" s="31" t="s">
        <v>10</v>
      </c>
      <c r="AG15" s="13">
        <f>$G$15*AH15+0.1</f>
        <v>0.11029866117404738</v>
      </c>
      <c r="AH15" s="12">
        <f t="shared" ref="AH15:AH28" si="4">$AH$29/$F$29*F15</f>
        <v>32.955715756951598</v>
      </c>
      <c r="AI15" s="31"/>
      <c r="AJ15" s="488"/>
      <c r="AK15" s="465"/>
      <c r="AL15" s="31" t="s">
        <v>95</v>
      </c>
      <c r="AM15" s="31" t="s">
        <v>10</v>
      </c>
      <c r="AN15" s="13">
        <f>$G$15*AO15</f>
        <v>0.38105046343975285</v>
      </c>
      <c r="AO15" s="12">
        <f t="shared" ref="AO15:AO28" si="5">$AO$29/$F$29*F15</f>
        <v>1219.361483007209</v>
      </c>
      <c r="AP15" s="31"/>
      <c r="AQ15" s="4">
        <f t="shared" si="0"/>
        <v>-9.99999999999997E-2</v>
      </c>
    </row>
    <row r="16" spans="1:44" ht="15" thickBot="1" x14ac:dyDescent="0.25">
      <c r="A16" s="488"/>
      <c r="B16" s="465"/>
      <c r="C16" s="128" t="s">
        <v>94</v>
      </c>
      <c r="D16" s="31" t="s">
        <v>10</v>
      </c>
      <c r="E16" s="13">
        <v>4</v>
      </c>
      <c r="F16" s="32">
        <v>12000</v>
      </c>
      <c r="G16" s="31">
        <f>E16/F16</f>
        <v>3.3333333333333332E-4</v>
      </c>
      <c r="H16" s="488"/>
      <c r="I16" s="465"/>
      <c r="J16" s="31" t="s">
        <v>94</v>
      </c>
      <c r="K16" s="31" t="s">
        <v>10</v>
      </c>
      <c r="L16" s="13">
        <f>$G$16*M16-0.1</f>
        <v>1.7867147270854786</v>
      </c>
      <c r="M16" s="12">
        <f t="shared" si="1"/>
        <v>5660.1441812564362</v>
      </c>
      <c r="N16" s="31"/>
      <c r="O16" s="472"/>
      <c r="P16" s="465"/>
      <c r="Q16" s="128" t="s">
        <v>94</v>
      </c>
      <c r="R16" s="31" t="s">
        <v>10</v>
      </c>
      <c r="S16" s="13">
        <f>$G$16*T16+0.1</f>
        <v>0.10823892893923791</v>
      </c>
      <c r="T16" s="12">
        <f t="shared" si="2"/>
        <v>24.716786817713697</v>
      </c>
      <c r="U16" s="371"/>
      <c r="V16" s="512"/>
      <c r="W16" s="494"/>
      <c r="X16" s="230" t="s">
        <v>94</v>
      </c>
      <c r="Y16" s="31" t="s">
        <v>10</v>
      </c>
      <c r="Z16" s="13">
        <f>$G$16*AA16</f>
        <v>1.791967044284243</v>
      </c>
      <c r="AA16" s="12">
        <f t="shared" si="3"/>
        <v>5375.9011328527295</v>
      </c>
      <c r="AB16" s="71"/>
      <c r="AC16" s="472"/>
      <c r="AD16" s="465"/>
      <c r="AE16" s="128" t="s">
        <v>94</v>
      </c>
      <c r="AF16" s="38"/>
      <c r="AG16" s="13">
        <f>$G$16*AH16+0.1</f>
        <v>0.10823892893923791</v>
      </c>
      <c r="AH16" s="12">
        <f t="shared" si="4"/>
        <v>24.716786817713697</v>
      </c>
      <c r="AI16" s="31"/>
      <c r="AJ16" s="488"/>
      <c r="AK16" s="465"/>
      <c r="AL16" s="128" t="s">
        <v>94</v>
      </c>
      <c r="AM16" s="31" t="s">
        <v>10</v>
      </c>
      <c r="AN16" s="13">
        <f>$G$16*AO16</f>
        <v>0.30484037075180226</v>
      </c>
      <c r="AO16" s="12">
        <f t="shared" si="5"/>
        <v>914.52111225540682</v>
      </c>
      <c r="AP16" s="31"/>
      <c r="AQ16" s="4">
        <f t="shared" si="0"/>
        <v>-0.10000000000000009</v>
      </c>
    </row>
    <row r="17" spans="1:43" ht="29.25" thickBot="1" x14ac:dyDescent="0.25">
      <c r="A17" s="488"/>
      <c r="B17" s="465"/>
      <c r="C17" s="31" t="s">
        <v>93</v>
      </c>
      <c r="D17" s="31" t="s">
        <v>10</v>
      </c>
      <c r="E17" s="13">
        <v>4</v>
      </c>
      <c r="F17" s="32">
        <v>5157</v>
      </c>
      <c r="G17" s="31">
        <f>E17/F17</f>
        <v>7.7564475470234633E-4</v>
      </c>
      <c r="H17" s="488"/>
      <c r="I17" s="465"/>
      <c r="J17" s="31" t="s">
        <v>93</v>
      </c>
      <c r="K17" s="31" t="s">
        <v>10</v>
      </c>
      <c r="L17" s="13">
        <f>$G$17*M17-0.1</f>
        <v>1.7867147270854786</v>
      </c>
      <c r="M17" s="12">
        <f t="shared" si="1"/>
        <v>2432.4469618949533</v>
      </c>
      <c r="N17" s="31"/>
      <c r="O17" s="472"/>
      <c r="P17" s="465"/>
      <c r="Q17" s="31" t="s">
        <v>93</v>
      </c>
      <c r="R17" s="31" t="s">
        <v>10</v>
      </c>
      <c r="S17" s="13">
        <f>$G$17*T17+0.1</f>
        <v>0.10823892893923791</v>
      </c>
      <c r="T17" s="12">
        <f t="shared" si="2"/>
        <v>10.622039134912461</v>
      </c>
      <c r="U17" s="371"/>
      <c r="V17" s="512"/>
      <c r="W17" s="494"/>
      <c r="X17" s="124" t="s">
        <v>93</v>
      </c>
      <c r="Y17" s="31" t="s">
        <v>10</v>
      </c>
      <c r="Z17" s="13">
        <f>$G$17*AA17</f>
        <v>1.791967044284243</v>
      </c>
      <c r="AA17" s="12">
        <f t="shared" si="3"/>
        <v>2310.2935118434602</v>
      </c>
      <c r="AB17" s="71"/>
      <c r="AC17" s="472"/>
      <c r="AD17" s="465"/>
      <c r="AE17" s="31" t="s">
        <v>93</v>
      </c>
      <c r="AF17" s="38" t="s">
        <v>10</v>
      </c>
      <c r="AG17" s="13">
        <f>$G$17*AH17+0.1</f>
        <v>0.10823892893923791</v>
      </c>
      <c r="AH17" s="12">
        <f t="shared" si="4"/>
        <v>10.622039134912461</v>
      </c>
      <c r="AI17" s="31"/>
      <c r="AJ17" s="488"/>
      <c r="AK17" s="465"/>
      <c r="AL17" s="31" t="s">
        <v>93</v>
      </c>
      <c r="AM17" s="31" t="s">
        <v>10</v>
      </c>
      <c r="AN17" s="13">
        <f>$G$17*AO17</f>
        <v>0.30484037075180226</v>
      </c>
      <c r="AO17" s="12">
        <f t="shared" si="5"/>
        <v>393.01544799176105</v>
      </c>
      <c r="AP17" s="31"/>
      <c r="AQ17" s="4">
        <f t="shared" si="0"/>
        <v>-0.10000000000000009</v>
      </c>
    </row>
    <row r="18" spans="1:43" ht="28.5" x14ac:dyDescent="0.2">
      <c r="A18" s="488"/>
      <c r="B18" s="465"/>
      <c r="C18" s="31" t="s">
        <v>92</v>
      </c>
      <c r="D18" s="127" t="s">
        <v>10</v>
      </c>
      <c r="E18" s="13">
        <v>2</v>
      </c>
      <c r="F18" s="32">
        <v>30494</v>
      </c>
      <c r="G18" s="126">
        <f>E18/F18</f>
        <v>6.5586672788089459E-5</v>
      </c>
      <c r="H18" s="488"/>
      <c r="I18" s="465"/>
      <c r="J18" s="31" t="s">
        <v>92</v>
      </c>
      <c r="K18" s="127" t="s">
        <v>10</v>
      </c>
      <c r="L18" s="13">
        <f>$G$18*M18-0.1</f>
        <v>0.84335736354273938</v>
      </c>
      <c r="M18" s="12">
        <f t="shared" si="1"/>
        <v>14383.369721936147</v>
      </c>
      <c r="N18" s="31"/>
      <c r="O18" s="472"/>
      <c r="P18" s="465"/>
      <c r="Q18" s="31" t="s">
        <v>92</v>
      </c>
      <c r="R18" s="127" t="s">
        <v>10</v>
      </c>
      <c r="S18" s="13">
        <f>$G$18*T18+0.1</f>
        <v>0.10411946446961895</v>
      </c>
      <c r="T18" s="12">
        <f t="shared" si="2"/>
        <v>62.809474768280118</v>
      </c>
      <c r="U18" s="371"/>
      <c r="V18" s="512"/>
      <c r="W18" s="494"/>
      <c r="X18" s="124" t="s">
        <v>92</v>
      </c>
      <c r="Y18" s="31" t="s">
        <v>10</v>
      </c>
      <c r="Z18" s="13">
        <f>$G$18*AA18-0.1</f>
        <v>0.79598352214212154</v>
      </c>
      <c r="AA18" s="12">
        <f t="shared" si="3"/>
        <v>13661.060762100928</v>
      </c>
      <c r="AB18" s="71"/>
      <c r="AC18" s="472"/>
      <c r="AD18" s="465"/>
      <c r="AE18" s="31" t="s">
        <v>92</v>
      </c>
      <c r="AF18" s="127" t="s">
        <v>10</v>
      </c>
      <c r="AG18" s="13">
        <f>$G$18*AH18+0.1</f>
        <v>0.10411946446961895</v>
      </c>
      <c r="AH18" s="12">
        <f t="shared" si="4"/>
        <v>62.809474768280118</v>
      </c>
      <c r="AI18" s="31"/>
      <c r="AJ18" s="488"/>
      <c r="AK18" s="465"/>
      <c r="AL18" s="31" t="s">
        <v>92</v>
      </c>
      <c r="AM18" s="127" t="s">
        <v>10</v>
      </c>
      <c r="AN18" s="13">
        <f>$G$18*AO18</f>
        <v>0.15242018537590113</v>
      </c>
      <c r="AO18" s="12">
        <f t="shared" si="5"/>
        <v>2323.9505664263647</v>
      </c>
      <c r="AP18" s="31"/>
      <c r="AQ18" s="4">
        <f t="shared" si="0"/>
        <v>0</v>
      </c>
    </row>
    <row r="19" spans="1:43" x14ac:dyDescent="0.2">
      <c r="A19" s="488"/>
      <c r="B19" s="465"/>
      <c r="C19" s="31"/>
      <c r="D19" s="46"/>
      <c r="E19" s="13"/>
      <c r="F19" s="32"/>
      <c r="G19" s="31"/>
      <c r="H19" s="488"/>
      <c r="I19" s="465"/>
      <c r="J19" s="31"/>
      <c r="K19" s="46"/>
      <c r="L19" s="13"/>
      <c r="M19" s="12">
        <f t="shared" si="1"/>
        <v>0</v>
      </c>
      <c r="N19" s="31"/>
      <c r="O19" s="472"/>
      <c r="P19" s="465"/>
      <c r="Q19" s="31"/>
      <c r="R19" s="46"/>
      <c r="S19" s="13"/>
      <c r="T19" s="12">
        <f t="shared" si="2"/>
        <v>0</v>
      </c>
      <c r="U19" s="371"/>
      <c r="V19" s="512"/>
      <c r="W19" s="494"/>
      <c r="X19" s="124"/>
      <c r="Y19" s="323"/>
      <c r="Z19" s="13"/>
      <c r="AA19" s="12">
        <f t="shared" si="3"/>
        <v>0</v>
      </c>
      <c r="AB19" s="71"/>
      <c r="AC19" s="472"/>
      <c r="AD19" s="465"/>
      <c r="AE19" s="31"/>
      <c r="AF19" s="46"/>
      <c r="AG19" s="13"/>
      <c r="AH19" s="12">
        <f t="shared" si="4"/>
        <v>0</v>
      </c>
      <c r="AI19" s="31"/>
      <c r="AJ19" s="488"/>
      <c r="AK19" s="465"/>
      <c r="AL19" s="31"/>
      <c r="AM19" s="46"/>
      <c r="AN19" s="13"/>
      <c r="AO19" s="12">
        <f t="shared" si="5"/>
        <v>0</v>
      </c>
      <c r="AP19" s="31"/>
      <c r="AQ19" s="4">
        <f t="shared" si="0"/>
        <v>0</v>
      </c>
    </row>
    <row r="20" spans="1:43" ht="42.75" x14ac:dyDescent="0.2">
      <c r="A20" s="488"/>
      <c r="B20" s="465"/>
      <c r="C20" s="31" t="s">
        <v>91</v>
      </c>
      <c r="D20" s="31" t="s">
        <v>89</v>
      </c>
      <c r="E20" s="13">
        <v>54</v>
      </c>
      <c r="F20" s="32">
        <f>82983.67+102410</f>
        <v>185393.66999999998</v>
      </c>
      <c r="G20" s="31">
        <f t="shared" ref="G20:G28" si="6">E20/F20</f>
        <v>2.9127208064870828E-4</v>
      </c>
      <c r="H20" s="488"/>
      <c r="I20" s="465"/>
      <c r="J20" s="31" t="s">
        <v>91</v>
      </c>
      <c r="K20" s="31" t="s">
        <v>89</v>
      </c>
      <c r="L20" s="13">
        <f>$G$20*M20</f>
        <v>25.470648815653963</v>
      </c>
      <c r="M20" s="12">
        <f t="shared" si="1"/>
        <v>87446.241874356318</v>
      </c>
      <c r="N20" s="31"/>
      <c r="O20" s="472"/>
      <c r="P20" s="465"/>
      <c r="Q20" s="31" t="s">
        <v>91</v>
      </c>
      <c r="R20" s="31" t="s">
        <v>89</v>
      </c>
      <c r="S20" s="13">
        <f>$G$20*T20</f>
        <v>0.11122554067971165</v>
      </c>
      <c r="T20" s="12">
        <f t="shared" si="2"/>
        <v>381.86131822863024</v>
      </c>
      <c r="U20" s="371"/>
      <c r="V20" s="512"/>
      <c r="W20" s="494"/>
      <c r="X20" s="124" t="s">
        <v>91</v>
      </c>
      <c r="Y20" s="31" t="s">
        <v>89</v>
      </c>
      <c r="Z20" s="13">
        <f>$G$20*AA20</f>
        <v>24.191555097837281</v>
      </c>
      <c r="AA20" s="12">
        <f t="shared" si="3"/>
        <v>83054.836714727076</v>
      </c>
      <c r="AB20" s="71"/>
      <c r="AC20" s="472"/>
      <c r="AD20" s="465"/>
      <c r="AE20" s="31" t="s">
        <v>91</v>
      </c>
      <c r="AF20" s="31" t="s">
        <v>89</v>
      </c>
      <c r="AG20" s="13">
        <f>$G$20*AH20</f>
        <v>0.11122554067971165</v>
      </c>
      <c r="AH20" s="12">
        <f t="shared" si="4"/>
        <v>381.86131822863024</v>
      </c>
      <c r="AI20" s="31"/>
      <c r="AJ20" s="488"/>
      <c r="AK20" s="465"/>
      <c r="AL20" s="31" t="s">
        <v>91</v>
      </c>
      <c r="AM20" s="31" t="s">
        <v>89</v>
      </c>
      <c r="AN20" s="13">
        <f>$G$20*AO20</f>
        <v>4.1153450051493312</v>
      </c>
      <c r="AO20" s="12">
        <f t="shared" si="5"/>
        <v>14128.868774459319</v>
      </c>
      <c r="AP20" s="31"/>
      <c r="AQ20" s="4">
        <f t="shared" si="0"/>
        <v>0</v>
      </c>
    </row>
    <row r="21" spans="1:43" ht="42.75" x14ac:dyDescent="0.2">
      <c r="A21" s="488"/>
      <c r="B21" s="465"/>
      <c r="C21" s="31" t="s">
        <v>90</v>
      </c>
      <c r="D21" s="31" t="s">
        <v>89</v>
      </c>
      <c r="E21" s="13">
        <v>68</v>
      </c>
      <c r="F21" s="32">
        <f>628975.88+98974</f>
        <v>727949.88</v>
      </c>
      <c r="G21" s="126">
        <f t="shared" si="6"/>
        <v>9.3413024534051706E-5</v>
      </c>
      <c r="H21" s="488"/>
      <c r="I21" s="465"/>
      <c r="J21" s="31" t="s">
        <v>90</v>
      </c>
      <c r="K21" s="31" t="s">
        <v>89</v>
      </c>
      <c r="L21" s="13">
        <f>$G$21*M21</f>
        <v>32.074150360453132</v>
      </c>
      <c r="M21" s="12">
        <f t="shared" si="1"/>
        <v>343358.43979402672</v>
      </c>
      <c r="N21" s="31"/>
      <c r="O21" s="472"/>
      <c r="P21" s="465"/>
      <c r="Q21" s="31" t="s">
        <v>90</v>
      </c>
      <c r="R21" s="31" t="s">
        <v>89</v>
      </c>
      <c r="S21" s="13">
        <f>$G$21*T21</f>
        <v>0.14006179196704427</v>
      </c>
      <c r="T21" s="12">
        <f t="shared" si="2"/>
        <v>1499.381833161689</v>
      </c>
      <c r="U21" s="371"/>
      <c r="V21" s="512"/>
      <c r="W21" s="494"/>
      <c r="X21" s="124" t="s">
        <v>90</v>
      </c>
      <c r="Y21" s="31" t="s">
        <v>89</v>
      </c>
      <c r="Z21" s="13">
        <f>$G$21*AA21</f>
        <v>30.46343975283213</v>
      </c>
      <c r="AA21" s="12">
        <f t="shared" si="3"/>
        <v>326115.54871266737</v>
      </c>
      <c r="AB21" s="71"/>
      <c r="AC21" s="472"/>
      <c r="AD21" s="465"/>
      <c r="AE21" s="31" t="s">
        <v>90</v>
      </c>
      <c r="AF21" s="31" t="s">
        <v>89</v>
      </c>
      <c r="AG21" s="13">
        <f>$G$21*AH21</f>
        <v>0.14006179196704427</v>
      </c>
      <c r="AH21" s="12">
        <f t="shared" si="4"/>
        <v>1499.381833161689</v>
      </c>
      <c r="AI21" s="31"/>
      <c r="AJ21" s="488"/>
      <c r="AK21" s="465"/>
      <c r="AL21" s="31" t="s">
        <v>90</v>
      </c>
      <c r="AM21" s="31" t="s">
        <v>89</v>
      </c>
      <c r="AN21" s="13">
        <f>$G$21*AO21</f>
        <v>5.1822863027806383</v>
      </c>
      <c r="AO21" s="12">
        <f t="shared" si="5"/>
        <v>55477.127826982491</v>
      </c>
      <c r="AP21" s="31"/>
      <c r="AQ21" s="4">
        <f t="shared" si="0"/>
        <v>1.3322676295501878E-14</v>
      </c>
    </row>
    <row r="22" spans="1:43" ht="28.5" x14ac:dyDescent="0.2">
      <c r="A22" s="488"/>
      <c r="B22" s="465"/>
      <c r="C22" s="31" t="s">
        <v>88</v>
      </c>
      <c r="D22" s="31" t="s">
        <v>10</v>
      </c>
      <c r="E22" s="13">
        <v>101</v>
      </c>
      <c r="F22" s="32">
        <v>88952.960000000006</v>
      </c>
      <c r="G22" s="31">
        <f t="shared" si="6"/>
        <v>1.1354315809164754E-3</v>
      </c>
      <c r="H22" s="488"/>
      <c r="I22" s="465"/>
      <c r="J22" s="31" t="s">
        <v>88</v>
      </c>
      <c r="K22" s="31" t="s">
        <v>10</v>
      </c>
      <c r="L22" s="13">
        <f>$G$22*M22</f>
        <v>47.639546858908339</v>
      </c>
      <c r="M22" s="12">
        <f t="shared" si="1"/>
        <v>41957.214912461379</v>
      </c>
      <c r="N22" s="31"/>
      <c r="O22" s="472"/>
      <c r="P22" s="465"/>
      <c r="Q22" s="31" t="s">
        <v>88</v>
      </c>
      <c r="R22" s="31" t="s">
        <v>10</v>
      </c>
      <c r="S22" s="13">
        <f>$G$22*T22</f>
        <v>0.20803295571575697</v>
      </c>
      <c r="T22" s="12">
        <f t="shared" si="2"/>
        <v>183.21927909371783</v>
      </c>
      <c r="U22" s="371"/>
      <c r="V22" s="512"/>
      <c r="W22" s="494"/>
      <c r="X22" s="124" t="s">
        <v>88</v>
      </c>
      <c r="Y22" s="31" t="s">
        <v>10</v>
      </c>
      <c r="Z22" s="13">
        <f>$G$22*AA22</f>
        <v>45.247167868177144</v>
      </c>
      <c r="AA22" s="12">
        <f t="shared" si="3"/>
        <v>39850.193202883631</v>
      </c>
      <c r="AB22" s="71"/>
      <c r="AC22" s="472"/>
      <c r="AD22" s="465"/>
      <c r="AE22" s="31" t="s">
        <v>88</v>
      </c>
      <c r="AF22" s="31" t="s">
        <v>10</v>
      </c>
      <c r="AG22" s="13">
        <f>$G$22*AH22</f>
        <v>0.20803295571575697</v>
      </c>
      <c r="AH22" s="12">
        <f t="shared" si="4"/>
        <v>183.21927909371783</v>
      </c>
      <c r="AI22" s="31"/>
      <c r="AJ22" s="488"/>
      <c r="AK22" s="465"/>
      <c r="AL22" s="31" t="s">
        <v>88</v>
      </c>
      <c r="AM22" s="31" t="s">
        <v>10</v>
      </c>
      <c r="AN22" s="13">
        <f>$G$22*AO22</f>
        <v>7.6972193614830084</v>
      </c>
      <c r="AO22" s="12">
        <f t="shared" si="5"/>
        <v>6779.11332646756</v>
      </c>
      <c r="AP22" s="31"/>
      <c r="AQ22" s="4">
        <f t="shared" si="0"/>
        <v>0</v>
      </c>
    </row>
    <row r="23" spans="1:43" ht="42.75" x14ac:dyDescent="0.2">
      <c r="A23" s="488"/>
      <c r="B23" s="465"/>
      <c r="C23" s="31" t="s">
        <v>87</v>
      </c>
      <c r="D23" s="31" t="s">
        <v>10</v>
      </c>
      <c r="E23" s="13">
        <v>1080</v>
      </c>
      <c r="F23" s="32">
        <v>147996.53078924544</v>
      </c>
      <c r="G23" s="31">
        <f t="shared" si="6"/>
        <v>7.2974683544303797E-3</v>
      </c>
      <c r="H23" s="488"/>
      <c r="I23" s="465"/>
      <c r="J23" s="31" t="s">
        <v>87</v>
      </c>
      <c r="K23" s="31" t="s">
        <v>10</v>
      </c>
      <c r="L23" s="13">
        <f>$G$23*M23</f>
        <v>509.41297631307924</v>
      </c>
      <c r="M23" s="12">
        <f t="shared" si="1"/>
        <v>69806.808549407215</v>
      </c>
      <c r="N23" s="31"/>
      <c r="O23" s="472"/>
      <c r="P23" s="465"/>
      <c r="Q23" s="31" t="s">
        <v>87</v>
      </c>
      <c r="R23" s="31" t="s">
        <v>10</v>
      </c>
      <c r="S23" s="13">
        <f>$G$23*T23</f>
        <v>2.2245108135942324</v>
      </c>
      <c r="T23" s="12">
        <f t="shared" si="2"/>
        <v>304.83322510658172</v>
      </c>
      <c r="U23" s="371"/>
      <c r="V23" s="512"/>
      <c r="W23" s="494"/>
      <c r="X23" s="124" t="s">
        <v>87</v>
      </c>
      <c r="Y23" s="31" t="s">
        <v>10</v>
      </c>
      <c r="Z23" s="13">
        <f>$G$23*AA23</f>
        <v>483.83110195674561</v>
      </c>
      <c r="AA23" s="12">
        <f t="shared" si="3"/>
        <v>66301.22646068153</v>
      </c>
      <c r="AB23" s="71"/>
      <c r="AC23" s="472"/>
      <c r="AD23" s="465"/>
      <c r="AE23" s="31" t="s">
        <v>87</v>
      </c>
      <c r="AF23" s="31" t="s">
        <v>10</v>
      </c>
      <c r="AG23" s="13">
        <f>$G$23*AH23</f>
        <v>2.2245108135942324</v>
      </c>
      <c r="AH23" s="12">
        <f t="shared" si="4"/>
        <v>304.83322510658172</v>
      </c>
      <c r="AI23" s="31"/>
      <c r="AJ23" s="488"/>
      <c r="AK23" s="465"/>
      <c r="AL23" s="31" t="s">
        <v>87</v>
      </c>
      <c r="AM23" s="31" t="s">
        <v>10</v>
      </c>
      <c r="AN23" s="13">
        <f>$G$23*AO23</f>
        <v>82.306900102986603</v>
      </c>
      <c r="AO23" s="12">
        <f t="shared" si="5"/>
        <v>11278.829328943524</v>
      </c>
      <c r="AP23" s="31"/>
      <c r="AQ23" s="4">
        <f t="shared" si="0"/>
        <v>0</v>
      </c>
    </row>
    <row r="24" spans="1:43" ht="42.75" x14ac:dyDescent="0.2">
      <c r="A24" s="488"/>
      <c r="B24" s="465"/>
      <c r="C24" s="31" t="s">
        <v>86</v>
      </c>
      <c r="D24" s="31" t="s">
        <v>10</v>
      </c>
      <c r="E24" s="125">
        <v>1600</v>
      </c>
      <c r="F24" s="32">
        <f>1285698.67+845000</f>
        <v>2130698.67</v>
      </c>
      <c r="G24" s="31">
        <f t="shared" si="6"/>
        <v>7.509273941584617E-4</v>
      </c>
      <c r="H24" s="488"/>
      <c r="I24" s="465"/>
      <c r="J24" s="31" t="s">
        <v>86</v>
      </c>
      <c r="K24" s="31" t="s">
        <v>10</v>
      </c>
      <c r="L24" s="13">
        <f>$G$24*M24</f>
        <v>754.68589083419147</v>
      </c>
      <c r="M24" s="12">
        <f t="shared" si="1"/>
        <v>1005005.1399176106</v>
      </c>
      <c r="N24" s="31"/>
      <c r="O24" s="472"/>
      <c r="P24" s="465"/>
      <c r="Q24" s="31" t="s">
        <v>86</v>
      </c>
      <c r="R24" s="31" t="s">
        <v>10</v>
      </c>
      <c r="S24" s="13">
        <f>$G$24*T24</f>
        <v>3.2955715756951598</v>
      </c>
      <c r="T24" s="12">
        <f t="shared" si="2"/>
        <v>4388.6687332646752</v>
      </c>
      <c r="U24" s="371"/>
      <c r="V24" s="512"/>
      <c r="W24" s="494"/>
      <c r="X24" s="124" t="s">
        <v>86</v>
      </c>
      <c r="Y24" s="31" t="s">
        <v>10</v>
      </c>
      <c r="Z24" s="13">
        <f>$G$24*AA24</f>
        <v>716.78681771369725</v>
      </c>
      <c r="AA24" s="12">
        <f t="shared" si="3"/>
        <v>954535.44948506693</v>
      </c>
      <c r="AB24" s="71"/>
      <c r="AC24" s="472"/>
      <c r="AD24" s="465"/>
      <c r="AE24" s="31" t="s">
        <v>86</v>
      </c>
      <c r="AF24" s="31" t="s">
        <v>10</v>
      </c>
      <c r="AG24" s="13">
        <f>$G$24*AH24</f>
        <v>3.2955715756951598</v>
      </c>
      <c r="AH24" s="12">
        <f t="shared" si="4"/>
        <v>4388.6687332646752</v>
      </c>
      <c r="AI24" s="31"/>
      <c r="AJ24" s="488"/>
      <c r="AK24" s="465"/>
      <c r="AL24" s="31" t="s">
        <v>86</v>
      </c>
      <c r="AM24" s="31" t="s">
        <v>10</v>
      </c>
      <c r="AN24" s="13">
        <f>$G$24*AO24</f>
        <v>121.9361483007209</v>
      </c>
      <c r="AO24" s="12">
        <f t="shared" si="5"/>
        <v>162380.74313079298</v>
      </c>
      <c r="AP24" s="31"/>
      <c r="AQ24" s="4">
        <f t="shared" si="0"/>
        <v>0</v>
      </c>
    </row>
    <row r="25" spans="1:43" x14ac:dyDescent="0.2">
      <c r="A25" s="488"/>
      <c r="B25" s="465"/>
      <c r="C25" s="31" t="s">
        <v>85</v>
      </c>
      <c r="D25" s="31" t="s">
        <v>10</v>
      </c>
      <c r="E25" s="13">
        <v>270</v>
      </c>
      <c r="F25" s="32">
        <f>17464+61306.9</f>
        <v>78770.899999999994</v>
      </c>
      <c r="G25" s="31">
        <f t="shared" si="6"/>
        <v>3.4276617380276223E-3</v>
      </c>
      <c r="H25" s="488"/>
      <c r="I25" s="465"/>
      <c r="J25" s="31" t="s">
        <v>85</v>
      </c>
      <c r="K25" s="31" t="s">
        <v>10</v>
      </c>
      <c r="L25" s="13">
        <f>$G$25*M25</f>
        <v>127.35324407826984</v>
      </c>
      <c r="M25" s="12">
        <f t="shared" si="1"/>
        <v>37154.554273944384</v>
      </c>
      <c r="N25" s="31"/>
      <c r="O25" s="472"/>
      <c r="P25" s="465"/>
      <c r="Q25" s="31" t="s">
        <v>85</v>
      </c>
      <c r="R25" s="31" t="s">
        <v>10</v>
      </c>
      <c r="S25" s="13">
        <f>$G$25*T25</f>
        <v>0.55612770339855822</v>
      </c>
      <c r="T25" s="12">
        <f t="shared" si="2"/>
        <v>162.24696189495364</v>
      </c>
      <c r="U25" s="371"/>
      <c r="V25" s="512"/>
      <c r="W25" s="494"/>
      <c r="X25" s="124" t="s">
        <v>85</v>
      </c>
      <c r="Y25" s="31" t="s">
        <v>10</v>
      </c>
      <c r="Z25" s="13">
        <f>$G$25*AA25</f>
        <v>120.9577754891864</v>
      </c>
      <c r="AA25" s="12">
        <f t="shared" si="3"/>
        <v>35288.714212152416</v>
      </c>
      <c r="AB25" s="71"/>
      <c r="AC25" s="472"/>
      <c r="AD25" s="465"/>
      <c r="AE25" s="31" t="s">
        <v>85</v>
      </c>
      <c r="AF25" s="31" t="s">
        <v>10</v>
      </c>
      <c r="AG25" s="13">
        <f>$G$25*AH25</f>
        <v>0.55612770339855822</v>
      </c>
      <c r="AH25" s="12">
        <f t="shared" si="4"/>
        <v>162.24696189495364</v>
      </c>
      <c r="AI25" s="31"/>
      <c r="AJ25" s="488"/>
      <c r="AK25" s="465"/>
      <c r="AL25" s="31" t="s">
        <v>85</v>
      </c>
      <c r="AM25" s="31" t="s">
        <v>10</v>
      </c>
      <c r="AN25" s="13">
        <f>$G$25*AO25</f>
        <v>20.576725025746654</v>
      </c>
      <c r="AO25" s="12">
        <f t="shared" si="5"/>
        <v>6003.1375901132851</v>
      </c>
      <c r="AP25" s="31"/>
      <c r="AQ25" s="4">
        <f t="shared" si="0"/>
        <v>0</v>
      </c>
    </row>
    <row r="26" spans="1:43" x14ac:dyDescent="0.2">
      <c r="A26" s="488"/>
      <c r="B26" s="465"/>
      <c r="C26" s="31" t="s">
        <v>84</v>
      </c>
      <c r="D26" s="31" t="s">
        <v>10</v>
      </c>
      <c r="E26" s="13">
        <v>89</v>
      </c>
      <c r="F26" s="32">
        <v>169343.68</v>
      </c>
      <c r="G26" s="31">
        <f t="shared" si="6"/>
        <v>5.2555843831904444E-4</v>
      </c>
      <c r="H26" s="488"/>
      <c r="I26" s="465"/>
      <c r="J26" s="31" t="s">
        <v>84</v>
      </c>
      <c r="K26" s="31" t="s">
        <v>10</v>
      </c>
      <c r="L26" s="13">
        <f>$G$26*M26</f>
        <v>41.979402677651898</v>
      </c>
      <c r="M26" s="12">
        <f t="shared" si="1"/>
        <v>79875.803748712657</v>
      </c>
      <c r="N26" s="31"/>
      <c r="O26" s="472"/>
      <c r="P26" s="465"/>
      <c r="Q26" s="31" t="s">
        <v>84</v>
      </c>
      <c r="R26" s="31" t="s">
        <v>10</v>
      </c>
      <c r="S26" s="13">
        <f>$G$26*T26</f>
        <v>0.18331616889804322</v>
      </c>
      <c r="T26" s="12">
        <f t="shared" si="2"/>
        <v>348.80263645726052</v>
      </c>
      <c r="U26" s="371"/>
      <c r="V26" s="512"/>
      <c r="W26" s="494"/>
      <c r="X26" s="124" t="s">
        <v>84</v>
      </c>
      <c r="Y26" s="31" t="s">
        <v>10</v>
      </c>
      <c r="Z26" s="13">
        <f>$G$26*AA26</f>
        <v>39.871266735324404</v>
      </c>
      <c r="AA26" s="12">
        <f t="shared" si="3"/>
        <v>75864.573429454162</v>
      </c>
      <c r="AB26" s="71"/>
      <c r="AC26" s="472"/>
      <c r="AD26" s="465"/>
      <c r="AE26" s="31" t="s">
        <v>84</v>
      </c>
      <c r="AF26" s="31" t="s">
        <v>10</v>
      </c>
      <c r="AG26" s="13">
        <f>$G$26*AH26</f>
        <v>0.18331616889804322</v>
      </c>
      <c r="AH26" s="12">
        <f t="shared" si="4"/>
        <v>348.80263645726052</v>
      </c>
      <c r="AI26" s="31"/>
      <c r="AJ26" s="488"/>
      <c r="AK26" s="465"/>
      <c r="AL26" s="31" t="s">
        <v>84</v>
      </c>
      <c r="AM26" s="31" t="s">
        <v>10</v>
      </c>
      <c r="AN26" s="13">
        <f>$G$26*AO26</f>
        <v>6.7826982492275993</v>
      </c>
      <c r="AO26" s="12">
        <f t="shared" si="5"/>
        <v>12905.697548918639</v>
      </c>
      <c r="AP26" s="31"/>
      <c r="AQ26" s="4">
        <f t="shared" si="0"/>
        <v>9.7699626167013776E-15</v>
      </c>
    </row>
    <row r="27" spans="1:43" x14ac:dyDescent="0.2">
      <c r="A27" s="488"/>
      <c r="B27" s="465"/>
      <c r="C27" s="31" t="s">
        <v>83</v>
      </c>
      <c r="D27" s="31" t="s">
        <v>10</v>
      </c>
      <c r="E27" s="13">
        <v>80</v>
      </c>
      <c r="F27" s="32">
        <v>20000</v>
      </c>
      <c r="G27" s="31">
        <f t="shared" si="6"/>
        <v>4.0000000000000001E-3</v>
      </c>
      <c r="H27" s="488"/>
      <c r="I27" s="465"/>
      <c r="J27" s="31" t="s">
        <v>83</v>
      </c>
      <c r="K27" s="31" t="s">
        <v>10</v>
      </c>
      <c r="L27" s="13">
        <f>$G$27*M27</f>
        <v>37.734294541709573</v>
      </c>
      <c r="M27" s="12">
        <f t="shared" si="1"/>
        <v>9433.573635427394</v>
      </c>
      <c r="N27" s="31"/>
      <c r="O27" s="472"/>
      <c r="P27" s="465"/>
      <c r="Q27" s="31" t="s">
        <v>83</v>
      </c>
      <c r="R27" s="31" t="s">
        <v>10</v>
      </c>
      <c r="S27" s="13">
        <f>$G$27*T27</f>
        <v>0.16477857878475796</v>
      </c>
      <c r="T27" s="12">
        <f t="shared" si="2"/>
        <v>41.194644696189492</v>
      </c>
      <c r="U27" s="371"/>
      <c r="V27" s="512"/>
      <c r="W27" s="494"/>
      <c r="X27" s="124" t="s">
        <v>83</v>
      </c>
      <c r="Y27" s="31" t="s">
        <v>10</v>
      </c>
      <c r="Z27" s="13">
        <f>$G$27*AA27</f>
        <v>35.839340885684862</v>
      </c>
      <c r="AA27" s="12">
        <f t="shared" si="3"/>
        <v>8959.8352214212155</v>
      </c>
      <c r="AB27" s="71"/>
      <c r="AC27" s="472"/>
      <c r="AD27" s="465"/>
      <c r="AE27" s="31" t="s">
        <v>83</v>
      </c>
      <c r="AF27" s="31" t="s">
        <v>10</v>
      </c>
      <c r="AG27" s="13">
        <f>$G$27*AH27</f>
        <v>0.16477857878475796</v>
      </c>
      <c r="AH27" s="12">
        <f t="shared" si="4"/>
        <v>41.194644696189492</v>
      </c>
      <c r="AI27" s="31"/>
      <c r="AJ27" s="488"/>
      <c r="AK27" s="465"/>
      <c r="AL27" s="31" t="s">
        <v>83</v>
      </c>
      <c r="AM27" s="31" t="s">
        <v>10</v>
      </c>
      <c r="AN27" s="13">
        <f>$G$27*AO27</f>
        <v>6.0968074150360456</v>
      </c>
      <c r="AO27" s="12">
        <f t="shared" si="5"/>
        <v>1524.2018537590113</v>
      </c>
      <c r="AP27" s="31"/>
      <c r="AQ27" s="4">
        <f t="shared" si="0"/>
        <v>0</v>
      </c>
    </row>
    <row r="28" spans="1:43" ht="15" thickBot="1" x14ac:dyDescent="0.25">
      <c r="A28" s="488"/>
      <c r="B28" s="465"/>
      <c r="C28" s="31" t="s">
        <v>82</v>
      </c>
      <c r="D28" s="31" t="s">
        <v>10</v>
      </c>
      <c r="E28" s="13">
        <v>520</v>
      </c>
      <c r="F28" s="32">
        <v>34776.748999999996</v>
      </c>
      <c r="G28" s="31">
        <f t="shared" si="6"/>
        <v>1.4952518994803109E-2</v>
      </c>
      <c r="H28" s="488"/>
      <c r="I28" s="465"/>
      <c r="J28" s="31" t="s">
        <v>82</v>
      </c>
      <c r="K28" s="31" t="s">
        <v>10</v>
      </c>
      <c r="L28" s="13">
        <f>$G$28*M28</f>
        <v>245.2729145211122</v>
      </c>
      <c r="M28" s="12">
        <f t="shared" si="1"/>
        <v>16403.451124613795</v>
      </c>
      <c r="N28" s="31"/>
      <c r="O28" s="472"/>
      <c r="P28" s="465"/>
      <c r="Q28" s="31" t="s">
        <v>82</v>
      </c>
      <c r="R28" s="31" t="s">
        <v>10</v>
      </c>
      <c r="S28" s="13">
        <f>$G$28*T28</f>
        <v>1.0710607621009269</v>
      </c>
      <c r="T28" s="12">
        <f t="shared" si="2"/>
        <v>71.630790937178162</v>
      </c>
      <c r="U28" s="371"/>
      <c r="V28" s="512"/>
      <c r="W28" s="494"/>
      <c r="X28" s="124" t="s">
        <v>82</v>
      </c>
      <c r="Y28" s="31" t="s">
        <v>10</v>
      </c>
      <c r="Z28" s="13">
        <f>$G$28*AA28</f>
        <v>232.95571575695161</v>
      </c>
      <c r="AA28" s="12">
        <f t="shared" si="3"/>
        <v>15579.69702883625</v>
      </c>
      <c r="AB28" s="71"/>
      <c r="AC28" s="472"/>
      <c r="AD28" s="465"/>
      <c r="AE28" s="31" t="s">
        <v>82</v>
      </c>
      <c r="AF28" s="31" t="s">
        <v>10</v>
      </c>
      <c r="AG28" s="13">
        <f>$G$28*AH28</f>
        <v>1.0710607621009269</v>
      </c>
      <c r="AH28" s="12">
        <f t="shared" si="4"/>
        <v>71.630790937178162</v>
      </c>
      <c r="AI28" s="31"/>
      <c r="AJ28" s="488"/>
      <c r="AK28" s="465"/>
      <c r="AL28" s="31" t="s">
        <v>82</v>
      </c>
      <c r="AM28" s="31" t="s">
        <v>10</v>
      </c>
      <c r="AN28" s="13">
        <f>$G$28*AO28</f>
        <v>39.629248197734292</v>
      </c>
      <c r="AO28" s="12">
        <f t="shared" si="5"/>
        <v>2650.3392646755919</v>
      </c>
      <c r="AP28" s="31"/>
      <c r="AQ28" s="4">
        <f t="shared" si="0"/>
        <v>1.0658141036401503E-13</v>
      </c>
    </row>
    <row r="29" spans="1:43" ht="15" hidden="1" customHeight="1" thickBot="1" x14ac:dyDescent="0.25">
      <c r="A29" s="488"/>
      <c r="B29" s="464"/>
      <c r="C29" s="111" t="s">
        <v>2</v>
      </c>
      <c r="D29" s="110"/>
      <c r="E29" s="109"/>
      <c r="F29" s="112">
        <f>SUM(F15:F28)</f>
        <v>3647534.0397892455</v>
      </c>
      <c r="G29" s="108">
        <f>SUM(G24:G28)</f>
        <v>2.3656666565308238E-2</v>
      </c>
      <c r="H29" s="488"/>
      <c r="I29" s="464"/>
      <c r="J29" s="111" t="s">
        <v>2</v>
      </c>
      <c r="K29" s="110"/>
      <c r="L29" s="109"/>
      <c r="M29" s="51">
        <f>$F$29/$G$2*H2</f>
        <v>1720464.04760399</v>
      </c>
      <c r="N29" s="108">
        <f>SUM(N24:N28)</f>
        <v>0</v>
      </c>
      <c r="O29" s="488"/>
      <c r="P29" s="464"/>
      <c r="Q29" s="111" t="s">
        <v>2</v>
      </c>
      <c r="R29" s="110"/>
      <c r="S29" s="109"/>
      <c r="T29" s="68">
        <f>$F$29/$G$2*I2</f>
        <v>7512.9434393187339</v>
      </c>
      <c r="U29" s="360">
        <f>SUM(U24:U28)</f>
        <v>0</v>
      </c>
      <c r="V29" s="512"/>
      <c r="W29" s="494"/>
      <c r="X29" s="203" t="s">
        <v>2</v>
      </c>
      <c r="Y29" s="110"/>
      <c r="Z29" s="109"/>
      <c r="AA29" s="195">
        <f>$F$29/$G$2*J2</f>
        <v>1634065.1980518247</v>
      </c>
      <c r="AB29" s="108">
        <f>SUM(AB24:AB28)</f>
        <v>0</v>
      </c>
      <c r="AC29" s="472"/>
      <c r="AD29" s="464"/>
      <c r="AE29" s="111" t="s">
        <v>2</v>
      </c>
      <c r="AF29" s="110"/>
      <c r="AG29" s="109"/>
      <c r="AH29" s="51">
        <f>$F$29/$G$2*K2</f>
        <v>7512.9434393187339</v>
      </c>
      <c r="AI29" s="108">
        <f>SUM(AI24:AI28)</f>
        <v>0</v>
      </c>
      <c r="AJ29" s="488"/>
      <c r="AK29" s="464"/>
      <c r="AL29" s="111" t="s">
        <v>2</v>
      </c>
      <c r="AM29" s="110"/>
      <c r="AN29" s="109"/>
      <c r="AO29" s="51">
        <f>$F$29/$G$2*L2</f>
        <v>277978.90725479316</v>
      </c>
      <c r="AP29" s="108">
        <f>SUM(AP24:AP28)</f>
        <v>0</v>
      </c>
      <c r="AQ29" s="4">
        <f t="shared" si="0"/>
        <v>0</v>
      </c>
    </row>
    <row r="30" spans="1:43" ht="15" thickBot="1" x14ac:dyDescent="0.25">
      <c r="A30" s="488"/>
      <c r="B30" s="464"/>
      <c r="C30" s="466" t="s">
        <v>81</v>
      </c>
      <c r="D30" s="466"/>
      <c r="E30" s="466"/>
      <c r="F30" s="466"/>
      <c r="G30" s="467"/>
      <c r="H30" s="488"/>
      <c r="I30" s="464"/>
      <c r="J30" s="466" t="s">
        <v>81</v>
      </c>
      <c r="K30" s="466"/>
      <c r="L30" s="466"/>
      <c r="M30" s="466"/>
      <c r="N30" s="467"/>
      <c r="O30" s="488"/>
      <c r="P30" s="464"/>
      <c r="Q30" s="466" t="s">
        <v>81</v>
      </c>
      <c r="R30" s="466"/>
      <c r="S30" s="466"/>
      <c r="T30" s="498"/>
      <c r="U30" s="466"/>
      <c r="V30" s="512"/>
      <c r="W30" s="494"/>
      <c r="X30" s="466" t="s">
        <v>81</v>
      </c>
      <c r="Y30" s="466"/>
      <c r="Z30" s="466"/>
      <c r="AA30" s="466"/>
      <c r="AB30" s="467"/>
      <c r="AC30" s="472"/>
      <c r="AD30" s="464"/>
      <c r="AE30" s="466" t="s">
        <v>81</v>
      </c>
      <c r="AF30" s="466"/>
      <c r="AG30" s="466"/>
      <c r="AH30" s="466"/>
      <c r="AI30" s="467"/>
      <c r="AJ30" s="488"/>
      <c r="AK30" s="464"/>
      <c r="AL30" s="466" t="s">
        <v>81</v>
      </c>
      <c r="AM30" s="466"/>
      <c r="AN30" s="466"/>
      <c r="AO30" s="466"/>
      <c r="AP30" s="467"/>
      <c r="AQ30" s="4">
        <f t="shared" si="0"/>
        <v>0</v>
      </c>
    </row>
    <row r="31" spans="1:43" ht="15" thickBot="1" x14ac:dyDescent="0.25">
      <c r="A31" s="488"/>
      <c r="B31" s="464"/>
      <c r="C31" s="38"/>
      <c r="D31" s="38"/>
      <c r="E31" s="38"/>
      <c r="F31" s="38"/>
      <c r="G31" s="38"/>
      <c r="H31" s="488"/>
      <c r="I31" s="464"/>
      <c r="J31" s="38"/>
      <c r="K31" s="38"/>
      <c r="L31" s="38"/>
      <c r="M31" s="38"/>
      <c r="N31" s="38"/>
      <c r="O31" s="488"/>
      <c r="P31" s="464"/>
      <c r="Q31" s="38"/>
      <c r="R31" s="38"/>
      <c r="S31" s="38"/>
      <c r="T31" s="38"/>
      <c r="U31" s="328"/>
      <c r="V31" s="512"/>
      <c r="W31" s="494"/>
      <c r="X31" s="38"/>
      <c r="Y31" s="38"/>
      <c r="Z31" s="38"/>
      <c r="AA31" s="38"/>
      <c r="AB31" s="38"/>
      <c r="AC31" s="472"/>
      <c r="AD31" s="464"/>
      <c r="AE31" s="38"/>
      <c r="AF31" s="38"/>
      <c r="AG31" s="38"/>
      <c r="AH31" s="38"/>
      <c r="AI31" s="38"/>
      <c r="AJ31" s="488"/>
      <c r="AK31" s="464"/>
      <c r="AL31" s="38"/>
      <c r="AM31" s="38"/>
      <c r="AN31" s="38"/>
      <c r="AO31" s="38"/>
      <c r="AP31" s="38"/>
      <c r="AQ31" s="4">
        <f t="shared" si="0"/>
        <v>0</v>
      </c>
    </row>
    <row r="32" spans="1:43" ht="15" thickBot="1" x14ac:dyDescent="0.25">
      <c r="A32" s="488"/>
      <c r="B32" s="473"/>
      <c r="C32" s="38"/>
      <c r="D32" s="38"/>
      <c r="E32" s="38"/>
      <c r="F32" s="38"/>
      <c r="G32" s="38"/>
      <c r="H32" s="488"/>
      <c r="I32" s="473"/>
      <c r="J32" s="38"/>
      <c r="K32" s="38"/>
      <c r="L32" s="38"/>
      <c r="M32" s="38"/>
      <c r="N32" s="38"/>
      <c r="O32" s="488"/>
      <c r="P32" s="473"/>
      <c r="Q32" s="38"/>
      <c r="R32" s="38"/>
      <c r="S32" s="38"/>
      <c r="T32" s="38"/>
      <c r="U32" s="328"/>
      <c r="V32" s="512"/>
      <c r="W32" s="495"/>
      <c r="X32" s="38"/>
      <c r="Y32" s="38"/>
      <c r="Z32" s="38"/>
      <c r="AA32" s="38"/>
      <c r="AB32" s="38"/>
      <c r="AC32" s="472"/>
      <c r="AD32" s="473"/>
      <c r="AE32" s="38"/>
      <c r="AF32" s="38"/>
      <c r="AG32" s="38"/>
      <c r="AH32" s="38"/>
      <c r="AI32" s="38"/>
      <c r="AJ32" s="488"/>
      <c r="AK32" s="473"/>
      <c r="AL32" s="38"/>
      <c r="AM32" s="38"/>
      <c r="AN32" s="38"/>
      <c r="AO32" s="38"/>
      <c r="AP32" s="38"/>
      <c r="AQ32" s="4">
        <f t="shared" si="0"/>
        <v>0</v>
      </c>
    </row>
    <row r="33" spans="1:43" ht="15" thickBot="1" x14ac:dyDescent="0.25">
      <c r="A33" s="488"/>
      <c r="B33" s="463"/>
      <c r="C33" s="466" t="s">
        <v>80</v>
      </c>
      <c r="D33" s="466"/>
      <c r="E33" s="466"/>
      <c r="F33" s="466"/>
      <c r="G33" s="467"/>
      <c r="H33" s="488"/>
      <c r="I33" s="463"/>
      <c r="J33" s="466" t="s">
        <v>80</v>
      </c>
      <c r="K33" s="466"/>
      <c r="L33" s="466"/>
      <c r="M33" s="466"/>
      <c r="N33" s="467"/>
      <c r="O33" s="488"/>
      <c r="P33" s="463"/>
      <c r="Q33" s="466" t="s">
        <v>80</v>
      </c>
      <c r="R33" s="466"/>
      <c r="S33" s="466"/>
      <c r="T33" s="466"/>
      <c r="U33" s="466"/>
      <c r="V33" s="512"/>
      <c r="W33" s="463"/>
      <c r="X33" s="466" t="s">
        <v>80</v>
      </c>
      <c r="Y33" s="466"/>
      <c r="Z33" s="466"/>
      <c r="AA33" s="466"/>
      <c r="AB33" s="467"/>
      <c r="AC33" s="472"/>
      <c r="AD33" s="463"/>
      <c r="AE33" s="466" t="s">
        <v>80</v>
      </c>
      <c r="AF33" s="466"/>
      <c r="AG33" s="466"/>
      <c r="AH33" s="466"/>
      <c r="AI33" s="467"/>
      <c r="AJ33" s="488"/>
      <c r="AK33" s="463"/>
      <c r="AL33" s="466" t="s">
        <v>80</v>
      </c>
      <c r="AM33" s="466"/>
      <c r="AN33" s="466"/>
      <c r="AO33" s="466"/>
      <c r="AP33" s="467"/>
      <c r="AQ33" s="4">
        <f t="shared" si="0"/>
        <v>0</v>
      </c>
    </row>
    <row r="34" spans="1:43" x14ac:dyDescent="0.2">
      <c r="A34" s="488"/>
      <c r="B34" s="464"/>
      <c r="C34" s="468" t="s">
        <v>79</v>
      </c>
      <c r="D34" s="468"/>
      <c r="E34" s="468"/>
      <c r="F34" s="468"/>
      <c r="G34" s="469"/>
      <c r="H34" s="488"/>
      <c r="I34" s="464"/>
      <c r="J34" s="468" t="s">
        <v>79</v>
      </c>
      <c r="K34" s="468"/>
      <c r="L34" s="468"/>
      <c r="M34" s="468"/>
      <c r="N34" s="469"/>
      <c r="O34" s="488"/>
      <c r="P34" s="464"/>
      <c r="Q34" s="468" t="s">
        <v>79</v>
      </c>
      <c r="R34" s="468"/>
      <c r="S34" s="468"/>
      <c r="T34" s="468"/>
      <c r="U34" s="468"/>
      <c r="V34" s="512"/>
      <c r="W34" s="464"/>
      <c r="X34" s="468" t="s">
        <v>79</v>
      </c>
      <c r="Y34" s="468"/>
      <c r="Z34" s="468"/>
      <c r="AA34" s="468"/>
      <c r="AB34" s="469"/>
      <c r="AC34" s="472"/>
      <c r="AD34" s="464"/>
      <c r="AE34" s="468" t="s">
        <v>79</v>
      </c>
      <c r="AF34" s="468"/>
      <c r="AG34" s="468"/>
      <c r="AH34" s="468"/>
      <c r="AI34" s="469"/>
      <c r="AJ34" s="488"/>
      <c r="AK34" s="464"/>
      <c r="AL34" s="468" t="s">
        <v>79</v>
      </c>
      <c r="AM34" s="468"/>
      <c r="AN34" s="468"/>
      <c r="AO34" s="468"/>
      <c r="AP34" s="469"/>
      <c r="AQ34" s="4">
        <f t="shared" si="0"/>
        <v>0</v>
      </c>
    </row>
    <row r="35" spans="1:43" x14ac:dyDescent="0.2">
      <c r="A35" s="488"/>
      <c r="B35" s="465"/>
      <c r="C35" s="123" t="s">
        <v>78</v>
      </c>
      <c r="D35" s="122" t="s">
        <v>77</v>
      </c>
      <c r="E35" s="72">
        <v>187000</v>
      </c>
      <c r="F35" s="12">
        <v>1273617.73</v>
      </c>
      <c r="G35" s="94">
        <f>E35/F35</f>
        <v>0.14682584545992461</v>
      </c>
      <c r="H35" s="488"/>
      <c r="I35" s="465"/>
      <c r="J35" s="123" t="s">
        <v>78</v>
      </c>
      <c r="K35" s="122" t="s">
        <v>77</v>
      </c>
      <c r="L35" s="72">
        <f>$G$35*M35</f>
        <v>96330.993987828901</v>
      </c>
      <c r="M35" s="12">
        <f t="shared" ref="M35:M41" si="7">$M$42/$F$42*F35</f>
        <v>656090.17054236529</v>
      </c>
      <c r="N35" s="121"/>
      <c r="O35" s="488"/>
      <c r="P35" s="465"/>
      <c r="Q35" s="123" t="s">
        <v>78</v>
      </c>
      <c r="R35" s="122" t="s">
        <v>77</v>
      </c>
      <c r="S35" s="72">
        <f>$G$35*T35</f>
        <v>420.65936239226596</v>
      </c>
      <c r="T35" s="12">
        <f t="shared" ref="T35:T41" si="8">$T$42/$F$42*F35</f>
        <v>2865.0225787876211</v>
      </c>
      <c r="U35" s="361"/>
      <c r="V35" s="512"/>
      <c r="W35" s="464"/>
      <c r="X35" s="341" t="s">
        <v>78</v>
      </c>
      <c r="Y35" s="342" t="s">
        <v>77</v>
      </c>
      <c r="Z35" s="343">
        <f>$G$35*AA35</f>
        <v>76825.891777602985</v>
      </c>
      <c r="AA35" s="344">
        <f t="shared" ref="AA35:AA41" si="9">$AA$42/$F$42*F35</f>
        <v>523245.0154599807</v>
      </c>
      <c r="AB35" s="345" t="s">
        <v>150</v>
      </c>
      <c r="AC35" s="472"/>
      <c r="AD35" s="465"/>
      <c r="AE35" s="123" t="s">
        <v>78</v>
      </c>
      <c r="AF35" s="122" t="s">
        <v>77</v>
      </c>
      <c r="AG35" s="72">
        <f>$G$35*AH35</f>
        <v>353.22249093150799</v>
      </c>
      <c r="AH35" s="12">
        <f t="shared" ref="AH35:AH41" si="10">$AH$42/$F$42*F35</f>
        <v>2405.7242090114055</v>
      </c>
      <c r="AI35" s="121"/>
      <c r="AJ35" s="488"/>
      <c r="AK35" s="465"/>
      <c r="AL35" s="123" t="s">
        <v>78</v>
      </c>
      <c r="AM35" s="122" t="s">
        <v>77</v>
      </c>
      <c r="AN35" s="72">
        <f>$G$35*AO35</f>
        <v>13069.232164465797</v>
      </c>
      <c r="AO35" s="12">
        <f t="shared" ref="AO35:AO41" si="11">$AO$42/$F$42*F35</f>
        <v>89011.795733422012</v>
      </c>
      <c r="AP35" s="121"/>
      <c r="AQ35" s="4">
        <f t="shared" si="0"/>
        <v>2.1677854238077998E-4</v>
      </c>
    </row>
    <row r="36" spans="1:43" s="21" customFormat="1" x14ac:dyDescent="0.2">
      <c r="A36" s="488"/>
      <c r="B36" s="465"/>
      <c r="C36" s="116" t="s">
        <v>76</v>
      </c>
      <c r="D36" s="115" t="s">
        <v>75</v>
      </c>
      <c r="E36" s="114">
        <v>1400</v>
      </c>
      <c r="F36" s="28">
        <v>1620579.4899839996</v>
      </c>
      <c r="G36" s="94">
        <f>E36/F36</f>
        <v>8.63888509420678E-4</v>
      </c>
      <c r="H36" s="488"/>
      <c r="I36" s="465"/>
      <c r="J36" s="116" t="s">
        <v>76</v>
      </c>
      <c r="K36" s="115" t="s">
        <v>75</v>
      </c>
      <c r="L36" s="114">
        <f>$G$36*M36</f>
        <v>721.19460739551062</v>
      </c>
      <c r="M36" s="28">
        <f t="shared" si="7"/>
        <v>834823.70645159099</v>
      </c>
      <c r="N36" s="113"/>
      <c r="O36" s="488"/>
      <c r="P36" s="465"/>
      <c r="Q36" s="116" t="s">
        <v>76</v>
      </c>
      <c r="R36" s="115" t="s">
        <v>75</v>
      </c>
      <c r="S36" s="114">
        <f>$G$36*T36</f>
        <v>3.1493214296747185</v>
      </c>
      <c r="T36" s="28">
        <f t="shared" si="8"/>
        <v>3645.51836878424</v>
      </c>
      <c r="U36" s="362"/>
      <c r="V36" s="512"/>
      <c r="W36" s="464"/>
      <c r="X36" s="346" t="s">
        <v>76</v>
      </c>
      <c r="Y36" s="347" t="s">
        <v>75</v>
      </c>
      <c r="Z36" s="348">
        <f>$G$36*AA36</f>
        <v>575.16710421734865</v>
      </c>
      <c r="AA36" s="349">
        <f t="shared" si="9"/>
        <v>665788.58029151778</v>
      </c>
      <c r="AB36" s="350" t="s">
        <v>150</v>
      </c>
      <c r="AC36" s="472"/>
      <c r="AD36" s="465"/>
      <c r="AE36" s="116" t="s">
        <v>76</v>
      </c>
      <c r="AF36" s="115" t="s">
        <v>75</v>
      </c>
      <c r="AG36" s="114">
        <f>$G$36*AH36</f>
        <v>2.644446456171718</v>
      </c>
      <c r="AH36" s="28">
        <f t="shared" si="10"/>
        <v>3061.0969208805413</v>
      </c>
      <c r="AI36" s="113"/>
      <c r="AJ36" s="488"/>
      <c r="AK36" s="465"/>
      <c r="AL36" s="116" t="s">
        <v>76</v>
      </c>
      <c r="AM36" s="115" t="s">
        <v>75</v>
      </c>
      <c r="AN36" s="114">
        <f>$G$36*AO36</f>
        <v>97.844518878353583</v>
      </c>
      <c r="AO36" s="28">
        <f t="shared" si="11"/>
        <v>113260.58607258004</v>
      </c>
      <c r="AP36" s="113"/>
      <c r="AQ36" s="4">
        <f t="shared" si="0"/>
        <v>1.6229407009404895E-6</v>
      </c>
    </row>
    <row r="37" spans="1:43" s="21" customFormat="1" ht="53.25" customHeight="1" x14ac:dyDescent="0.2">
      <c r="A37" s="488"/>
      <c r="B37" s="465"/>
      <c r="C37" s="116" t="s">
        <v>74</v>
      </c>
      <c r="D37" s="115" t="s">
        <v>69</v>
      </c>
      <c r="E37" s="114">
        <v>5111.9040000000005</v>
      </c>
      <c r="F37" s="28">
        <v>103802.10996879359</v>
      </c>
      <c r="G37" s="94">
        <f>E37/F37</f>
        <v>4.9246629009148377E-2</v>
      </c>
      <c r="H37" s="488"/>
      <c r="I37" s="465"/>
      <c r="J37" s="116" t="s">
        <v>74</v>
      </c>
      <c r="K37" s="115" t="s">
        <v>69</v>
      </c>
      <c r="L37" s="114">
        <f>$G$37*M37</f>
        <v>2633.3411416596718</v>
      </c>
      <c r="M37" s="28">
        <f t="shared" si="7"/>
        <v>53472.515675549796</v>
      </c>
      <c r="N37" s="113"/>
      <c r="O37" s="488"/>
      <c r="P37" s="465"/>
      <c r="Q37" s="116" t="s">
        <v>74</v>
      </c>
      <c r="R37" s="115" t="s">
        <v>69</v>
      </c>
      <c r="S37" s="114">
        <f>$G$37*T37</f>
        <v>11.49930629545708</v>
      </c>
      <c r="T37" s="28">
        <f t="shared" si="8"/>
        <v>233.50443526440955</v>
      </c>
      <c r="U37" s="362"/>
      <c r="V37" s="512"/>
      <c r="W37" s="464"/>
      <c r="X37" s="346" t="s">
        <v>74</v>
      </c>
      <c r="Y37" s="347" t="s">
        <v>69</v>
      </c>
      <c r="Z37" s="348">
        <f>$G$37*AA37</f>
        <v>2100.1421576550583</v>
      </c>
      <c r="AA37" s="349">
        <f t="shared" si="9"/>
        <v>42645.399287429849</v>
      </c>
      <c r="AB37" s="358" t="s">
        <v>148</v>
      </c>
      <c r="AC37" s="472"/>
      <c r="AD37" s="465"/>
      <c r="AE37" s="116" t="s">
        <v>74</v>
      </c>
      <c r="AF37" s="115" t="s">
        <v>69</v>
      </c>
      <c r="AG37" s="114">
        <f>$G$37*AH37</f>
        <v>9.6558260122071662</v>
      </c>
      <c r="AH37" s="28">
        <f t="shared" si="10"/>
        <v>196.07080132151657</v>
      </c>
      <c r="AI37" s="113"/>
      <c r="AJ37" s="488"/>
      <c r="AK37" s="465"/>
      <c r="AL37" s="116" t="s">
        <v>74</v>
      </c>
      <c r="AM37" s="115" t="s">
        <v>69</v>
      </c>
      <c r="AN37" s="114">
        <f>$G$37*AO37</f>
        <v>357.26556245166512</v>
      </c>
      <c r="AO37" s="28">
        <f t="shared" si="11"/>
        <v>7254.6196488961132</v>
      </c>
      <c r="AP37" s="113"/>
      <c r="AQ37" s="4">
        <f t="shared" si="0"/>
        <v>5.9259407407807885E-6</v>
      </c>
    </row>
    <row r="38" spans="1:43" s="21" customFormat="1" ht="43.5" customHeight="1" x14ac:dyDescent="0.2">
      <c r="A38" s="488"/>
      <c r="B38" s="465"/>
      <c r="C38" s="120" t="s">
        <v>73</v>
      </c>
      <c r="D38" s="115" t="s">
        <v>69</v>
      </c>
      <c r="E38" s="114">
        <v>240</v>
      </c>
      <c r="F38" s="28">
        <v>277813.62685439992</v>
      </c>
      <c r="G38" s="94">
        <f>E38/F38</f>
        <v>8.63888509420678E-4</v>
      </c>
      <c r="H38" s="488"/>
      <c r="I38" s="465"/>
      <c r="J38" s="120" t="s">
        <v>73</v>
      </c>
      <c r="K38" s="115" t="s">
        <v>69</v>
      </c>
      <c r="L38" s="114">
        <f>$G$38*M38</f>
        <v>123.6333612678018</v>
      </c>
      <c r="M38" s="28">
        <f t="shared" si="7"/>
        <v>143112.6353917013</v>
      </c>
      <c r="N38" s="113"/>
      <c r="O38" s="488"/>
      <c r="P38" s="465"/>
      <c r="Q38" s="120" t="s">
        <v>73</v>
      </c>
      <c r="R38" s="115" t="s">
        <v>69</v>
      </c>
      <c r="S38" s="114">
        <f>$G$38*T38</f>
        <v>0.53988367365852308</v>
      </c>
      <c r="T38" s="28">
        <f t="shared" si="8"/>
        <v>624.94600607729819</v>
      </c>
      <c r="U38" s="362"/>
      <c r="V38" s="512"/>
      <c r="W38" s="464"/>
      <c r="X38" s="351" t="s">
        <v>73</v>
      </c>
      <c r="Y38" s="347" t="s">
        <v>69</v>
      </c>
      <c r="Z38" s="348">
        <f>$G$38*AA38</f>
        <v>98.600075008688336</v>
      </c>
      <c r="AA38" s="349">
        <f t="shared" si="9"/>
        <v>114135.1851928316</v>
      </c>
      <c r="AB38" s="358" t="s">
        <v>148</v>
      </c>
      <c r="AC38" s="472"/>
      <c r="AD38" s="465"/>
      <c r="AE38" s="120" t="s">
        <v>73</v>
      </c>
      <c r="AF38" s="115" t="s">
        <v>69</v>
      </c>
      <c r="AG38" s="114">
        <f>$G$38*AH38</f>
        <v>0.4533336782008659</v>
      </c>
      <c r="AH38" s="28">
        <f t="shared" si="10"/>
        <v>524.75947215094993</v>
      </c>
      <c r="AI38" s="113"/>
      <c r="AJ38" s="488"/>
      <c r="AK38" s="465"/>
      <c r="AL38" s="120" t="s">
        <v>73</v>
      </c>
      <c r="AM38" s="115" t="s">
        <v>69</v>
      </c>
      <c r="AN38" s="114">
        <f>$G$38*AO38</f>
        <v>16.773346093432039</v>
      </c>
      <c r="AO38" s="28">
        <f t="shared" si="11"/>
        <v>19416.100469585148</v>
      </c>
      <c r="AP38" s="113"/>
      <c r="AQ38" s="4">
        <f t="shared" si="0"/>
        <v>2.7821843318065476E-7</v>
      </c>
    </row>
    <row r="39" spans="1:43" s="21" customFormat="1" ht="46.5" customHeight="1" x14ac:dyDescent="0.2">
      <c r="A39" s="488"/>
      <c r="B39" s="465"/>
      <c r="C39" s="116" t="s">
        <v>72</v>
      </c>
      <c r="D39" s="115" t="s">
        <v>69</v>
      </c>
      <c r="E39" s="117"/>
      <c r="F39" s="119"/>
      <c r="G39" s="118"/>
      <c r="H39" s="488"/>
      <c r="I39" s="465"/>
      <c r="J39" s="116" t="s">
        <v>72</v>
      </c>
      <c r="K39" s="115" t="s">
        <v>69</v>
      </c>
      <c r="L39" s="117"/>
      <c r="M39" s="28">
        <f t="shared" si="7"/>
        <v>0</v>
      </c>
      <c r="N39" s="113"/>
      <c r="O39" s="488"/>
      <c r="P39" s="465"/>
      <c r="Q39" s="116" t="s">
        <v>72</v>
      </c>
      <c r="R39" s="115" t="s">
        <v>69</v>
      </c>
      <c r="S39" s="117"/>
      <c r="T39" s="28">
        <f t="shared" si="8"/>
        <v>0</v>
      </c>
      <c r="U39" s="362"/>
      <c r="V39" s="512"/>
      <c r="W39" s="464"/>
      <c r="X39" s="346" t="s">
        <v>72</v>
      </c>
      <c r="Y39" s="347" t="s">
        <v>69</v>
      </c>
      <c r="Z39" s="352"/>
      <c r="AA39" s="349">
        <f t="shared" si="9"/>
        <v>0</v>
      </c>
      <c r="AB39" s="358" t="s">
        <v>148</v>
      </c>
      <c r="AC39" s="472"/>
      <c r="AD39" s="465"/>
      <c r="AE39" s="116" t="s">
        <v>72</v>
      </c>
      <c r="AF39" s="115" t="s">
        <v>69</v>
      </c>
      <c r="AG39" s="117"/>
      <c r="AH39" s="28">
        <f t="shared" si="10"/>
        <v>0</v>
      </c>
      <c r="AI39" s="113"/>
      <c r="AJ39" s="488"/>
      <c r="AK39" s="465"/>
      <c r="AL39" s="116" t="s">
        <v>72</v>
      </c>
      <c r="AM39" s="115" t="s">
        <v>69</v>
      </c>
      <c r="AN39" s="117"/>
      <c r="AO39" s="28">
        <f t="shared" si="11"/>
        <v>0</v>
      </c>
      <c r="AP39" s="113"/>
      <c r="AQ39" s="4">
        <f t="shared" si="0"/>
        <v>0</v>
      </c>
    </row>
    <row r="40" spans="1:43" s="21" customFormat="1" ht="48.75" customHeight="1" x14ac:dyDescent="0.2">
      <c r="A40" s="488"/>
      <c r="B40" s="465"/>
      <c r="C40" s="116" t="s">
        <v>71</v>
      </c>
      <c r="D40" s="115" t="s">
        <v>69</v>
      </c>
      <c r="E40" s="114">
        <v>2633.3999999999996</v>
      </c>
      <c r="F40" s="28">
        <v>53473.710850559983</v>
      </c>
      <c r="G40" s="94">
        <f>E40/F40</f>
        <v>4.9246629009148377E-2</v>
      </c>
      <c r="H40" s="488"/>
      <c r="I40" s="465"/>
      <c r="J40" s="116" t="s">
        <v>71</v>
      </c>
      <c r="K40" s="115" t="s">
        <v>69</v>
      </c>
      <c r="L40" s="114">
        <f>$G$40*M40</f>
        <v>1356.5670565109551</v>
      </c>
      <c r="M40" s="28">
        <f t="shared" si="7"/>
        <v>27546.3942163219</v>
      </c>
      <c r="N40" s="113"/>
      <c r="O40" s="488"/>
      <c r="P40" s="465"/>
      <c r="Q40" s="116" t="s">
        <v>71</v>
      </c>
      <c r="R40" s="115" t="s">
        <v>69</v>
      </c>
      <c r="S40" s="114">
        <f>$G$40*T40</f>
        <v>5.9238736092181439</v>
      </c>
      <c r="T40" s="28">
        <f t="shared" si="8"/>
        <v>120.28993107564148</v>
      </c>
      <c r="U40" s="362"/>
      <c r="V40" s="512"/>
      <c r="W40" s="464"/>
      <c r="X40" s="346" t="s">
        <v>71</v>
      </c>
      <c r="Y40" s="347" t="s">
        <v>69</v>
      </c>
      <c r="Z40" s="348">
        <f>$G$40*AA40</f>
        <v>1081.8893230328326</v>
      </c>
      <c r="AA40" s="349">
        <f t="shared" si="9"/>
        <v>21968.799586908859</v>
      </c>
      <c r="AB40" s="358" t="s">
        <v>148</v>
      </c>
      <c r="AC40" s="472"/>
      <c r="AD40" s="465"/>
      <c r="AE40" s="116" t="s">
        <v>71</v>
      </c>
      <c r="AF40" s="115" t="s">
        <v>69</v>
      </c>
      <c r="AG40" s="114">
        <f>$G$40*AH40</f>
        <v>4.9742037840590001</v>
      </c>
      <c r="AH40" s="28">
        <f t="shared" si="10"/>
        <v>101.00597511222463</v>
      </c>
      <c r="AI40" s="113"/>
      <c r="AJ40" s="488"/>
      <c r="AK40" s="465"/>
      <c r="AL40" s="116" t="s">
        <v>71</v>
      </c>
      <c r="AM40" s="115" t="s">
        <v>69</v>
      </c>
      <c r="AN40" s="114">
        <f>$G$40*AO40</f>
        <v>184.04554001018303</v>
      </c>
      <c r="AO40" s="28">
        <f t="shared" si="11"/>
        <v>3737.2210791523116</v>
      </c>
      <c r="AP40" s="113"/>
      <c r="AQ40" s="4">
        <f t="shared" si="0"/>
        <v>3.052751679888388E-6</v>
      </c>
    </row>
    <row r="41" spans="1:43" s="21" customFormat="1" ht="43.5" customHeight="1" x14ac:dyDescent="0.2">
      <c r="A41" s="488"/>
      <c r="B41" s="465"/>
      <c r="C41" s="116" t="s">
        <v>70</v>
      </c>
      <c r="D41" s="115" t="s">
        <v>69</v>
      </c>
      <c r="E41" s="114">
        <v>7745.2919999999995</v>
      </c>
      <c r="F41" s="28">
        <v>42734.416251239993</v>
      </c>
      <c r="G41" s="94">
        <f>E41/F41</f>
        <v>0.18124248976433041</v>
      </c>
      <c r="H41" s="488"/>
      <c r="I41" s="465"/>
      <c r="J41" s="116" t="s">
        <v>70</v>
      </c>
      <c r="K41" s="115" t="s">
        <v>69</v>
      </c>
      <c r="L41" s="114">
        <f>$G$41*M41</f>
        <v>3989.9020165025631</v>
      </c>
      <c r="M41" s="28">
        <f t="shared" si="7"/>
        <v>22014.164678992394</v>
      </c>
      <c r="N41" s="113"/>
      <c r="O41" s="488"/>
      <c r="P41" s="465"/>
      <c r="Q41" s="116" t="s">
        <v>70</v>
      </c>
      <c r="R41" s="115" t="s">
        <v>69</v>
      </c>
      <c r="S41" s="114">
        <f>$G$41*T41</f>
        <v>17.423152910491542</v>
      </c>
      <c r="T41" s="28">
        <f t="shared" si="8"/>
        <v>96.131723489049747</v>
      </c>
      <c r="U41" s="362"/>
      <c r="V41" s="512"/>
      <c r="W41" s="464"/>
      <c r="X41" s="346" t="s">
        <v>70</v>
      </c>
      <c r="Y41" s="347" t="s">
        <v>69</v>
      </c>
      <c r="Z41" s="348">
        <f>$G$41*AA41</f>
        <v>3182.0265506841401</v>
      </c>
      <c r="AA41" s="349">
        <f t="shared" si="9"/>
        <v>17556.736032603221</v>
      </c>
      <c r="AB41" s="358" t="s">
        <v>148</v>
      </c>
      <c r="AC41" s="472"/>
      <c r="AD41" s="465"/>
      <c r="AE41" s="116" t="s">
        <v>70</v>
      </c>
      <c r="AF41" s="115" t="s">
        <v>69</v>
      </c>
      <c r="AG41" s="114">
        <f>$G$41*AH41</f>
        <v>14.630007129582257</v>
      </c>
      <c r="AH41" s="28">
        <f t="shared" si="10"/>
        <v>80.720625437256203</v>
      </c>
      <c r="AI41" s="113"/>
      <c r="AJ41" s="488"/>
      <c r="AK41" s="465"/>
      <c r="AL41" s="116" t="s">
        <v>70</v>
      </c>
      <c r="AM41" s="115" t="s">
        <v>69</v>
      </c>
      <c r="AN41" s="114">
        <f>$G$41*AO41</f>
        <v>541.3102637945434</v>
      </c>
      <c r="AO41" s="28">
        <f t="shared" si="11"/>
        <v>2986.6631411784792</v>
      </c>
      <c r="AP41" s="113"/>
      <c r="AQ41" s="4">
        <f t="shared" si="0"/>
        <v>8.9786791477308725E-6</v>
      </c>
    </row>
    <row r="42" spans="1:43" ht="15" hidden="1" customHeight="1" thickBot="1" x14ac:dyDescent="0.25">
      <c r="A42" s="488"/>
      <c r="B42" s="465"/>
      <c r="C42" s="111" t="s">
        <v>2</v>
      </c>
      <c r="D42" s="110"/>
      <c r="E42" s="109"/>
      <c r="F42" s="112">
        <f>SUM(F35:F41)</f>
        <v>3372021.0839089933</v>
      </c>
      <c r="G42" s="108">
        <f>SUM(G29:G41)</f>
        <v>0.45194603682670131</v>
      </c>
      <c r="H42" s="488"/>
      <c r="I42" s="465"/>
      <c r="J42" s="111" t="s">
        <v>2</v>
      </c>
      <c r="K42" s="110"/>
      <c r="L42" s="109"/>
      <c r="M42" s="68">
        <f>1744645/460*458</f>
        <v>1737059.5869565217</v>
      </c>
      <c r="N42" s="108">
        <f>SUM(N29:N41)</f>
        <v>0</v>
      </c>
      <c r="O42" s="488"/>
      <c r="P42" s="465"/>
      <c r="Q42" s="111" t="s">
        <v>2</v>
      </c>
      <c r="R42" s="110"/>
      <c r="S42" s="109"/>
      <c r="T42" s="68">
        <f>1744645/460*2</f>
        <v>7585.413043478261</v>
      </c>
      <c r="U42" s="360">
        <f>SUM(U29:U41)</f>
        <v>0</v>
      </c>
      <c r="V42" s="512"/>
      <c r="W42" s="464"/>
      <c r="X42" s="203" t="s">
        <v>2</v>
      </c>
      <c r="Y42" s="110"/>
      <c r="Z42" s="109"/>
      <c r="AA42" s="68">
        <f>1627376.08/SUM($J$2:$L$2)*J2</f>
        <v>1385339.715851272</v>
      </c>
      <c r="AB42" s="108">
        <f>SUM(AB29:AB41)</f>
        <v>0</v>
      </c>
      <c r="AC42" s="472"/>
      <c r="AD42" s="465"/>
      <c r="AE42" s="111" t="s">
        <v>2</v>
      </c>
      <c r="AF42" s="110"/>
      <c r="AG42" s="109"/>
      <c r="AH42" s="68">
        <f>1627376.08/SUM(J2:L2)*K2</f>
        <v>6369.3780039138946</v>
      </c>
      <c r="AI42" s="108">
        <f>SUM(AI29:AI41)</f>
        <v>0</v>
      </c>
      <c r="AJ42" s="488"/>
      <c r="AK42" s="465"/>
      <c r="AL42" s="111" t="s">
        <v>2</v>
      </c>
      <c r="AM42" s="110"/>
      <c r="AN42" s="109"/>
      <c r="AO42" s="68">
        <f>1627376.08/SUM(J2:L2)*L2</f>
        <v>235666.98614481412</v>
      </c>
      <c r="AP42" s="108">
        <f>SUM(AP29:AP41)</f>
        <v>0</v>
      </c>
      <c r="AQ42" s="4">
        <f t="shared" si="0"/>
        <v>0</v>
      </c>
    </row>
    <row r="43" spans="1:43" ht="15" thickBot="1" x14ac:dyDescent="0.25">
      <c r="A43" s="488"/>
      <c r="B43" s="464"/>
      <c r="C43" s="471" t="s">
        <v>68</v>
      </c>
      <c r="D43" s="471"/>
      <c r="E43" s="471"/>
      <c r="F43" s="471"/>
      <c r="G43" s="472"/>
      <c r="H43" s="488"/>
      <c r="I43" s="464"/>
      <c r="J43" s="471" t="s">
        <v>68</v>
      </c>
      <c r="K43" s="471"/>
      <c r="L43" s="471"/>
      <c r="M43" s="471"/>
      <c r="N43" s="472"/>
      <c r="O43" s="488"/>
      <c r="P43" s="464"/>
      <c r="Q43" s="471" t="s">
        <v>68</v>
      </c>
      <c r="R43" s="471"/>
      <c r="S43" s="471"/>
      <c r="T43" s="471"/>
      <c r="U43" s="471"/>
      <c r="V43" s="512"/>
      <c r="W43" s="464"/>
      <c r="X43" s="471" t="s">
        <v>68</v>
      </c>
      <c r="Y43" s="471"/>
      <c r="Z43" s="471"/>
      <c r="AA43" s="471"/>
      <c r="AB43" s="472"/>
      <c r="AC43" s="472"/>
      <c r="AD43" s="464"/>
      <c r="AE43" s="471" t="s">
        <v>68</v>
      </c>
      <c r="AF43" s="471"/>
      <c r="AG43" s="471"/>
      <c r="AH43" s="471"/>
      <c r="AI43" s="472"/>
      <c r="AJ43" s="488"/>
      <c r="AK43" s="464"/>
      <c r="AL43" s="471" t="s">
        <v>68</v>
      </c>
      <c r="AM43" s="471"/>
      <c r="AN43" s="471"/>
      <c r="AO43" s="471"/>
      <c r="AP43" s="472"/>
      <c r="AQ43" s="4">
        <f t="shared" si="0"/>
        <v>0</v>
      </c>
    </row>
    <row r="44" spans="1:43" ht="64.5" thickBot="1" x14ac:dyDescent="0.25">
      <c r="A44" s="488"/>
      <c r="B44" s="464"/>
      <c r="C44" s="105" t="s">
        <v>67</v>
      </c>
      <c r="D44" s="104" t="s">
        <v>57</v>
      </c>
      <c r="E44" s="103">
        <v>21</v>
      </c>
      <c r="F44" s="107">
        <v>43968</v>
      </c>
      <c r="G44" s="101">
        <f>E44/F44</f>
        <v>4.7762008733624452E-4</v>
      </c>
      <c r="H44" s="488"/>
      <c r="I44" s="464"/>
      <c r="J44" s="105" t="s">
        <v>67</v>
      </c>
      <c r="K44" s="104" t="s">
        <v>57</v>
      </c>
      <c r="L44" s="103">
        <f>$G$44*M44-0.1</f>
        <v>10.71791915931815</v>
      </c>
      <c r="M44" s="20">
        <f t="shared" ref="M44:M53" si="12">$M$54/$F$54*F44</f>
        <v>22649.631885566687</v>
      </c>
      <c r="N44" s="106"/>
      <c r="O44" s="488"/>
      <c r="P44" s="464"/>
      <c r="Q44" s="105" t="s">
        <v>67</v>
      </c>
      <c r="R44" s="104" t="s">
        <v>57</v>
      </c>
      <c r="S44" s="103">
        <f>$G$44*T44+0.1</f>
        <v>0.14723982165641114</v>
      </c>
      <c r="T44" s="20">
        <f t="shared" ref="T44:T53" si="13">$T$54/$F$54*F44</f>
        <v>98.906689456623099</v>
      </c>
      <c r="U44" s="107"/>
      <c r="V44" s="512"/>
      <c r="W44" s="464"/>
      <c r="X44" s="105" t="s">
        <v>67</v>
      </c>
      <c r="Y44" s="104" t="s">
        <v>57</v>
      </c>
      <c r="Z44" s="103">
        <f>$G$44*AA44</f>
        <v>8.6275065426146096</v>
      </c>
      <c r="AA44" s="20">
        <f t="shared" ref="AA44:AA53" si="14">$AA$54/$F$54*F44</f>
        <v>18063.533698365674</v>
      </c>
      <c r="AB44" s="59"/>
      <c r="AC44" s="472"/>
      <c r="AD44" s="464"/>
      <c r="AE44" s="105" t="s">
        <v>67</v>
      </c>
      <c r="AF44" s="104" t="s">
        <v>57</v>
      </c>
      <c r="AG44" s="103">
        <f>$G$44*AH44+0.1</f>
        <v>0.13966669674765339</v>
      </c>
      <c r="AH44" s="20">
        <f t="shared" ref="AH44:AH53" si="15">$AH$54/$F$54*F44</f>
        <v>83.050729647658272</v>
      </c>
      <c r="AI44" s="59"/>
      <c r="AJ44" s="488"/>
      <c r="AK44" s="464"/>
      <c r="AL44" s="105" t="s">
        <v>67</v>
      </c>
      <c r="AM44" s="104" t="s">
        <v>57</v>
      </c>
      <c r="AN44" s="103">
        <f>$G$44*AO44</f>
        <v>1.467667779663175</v>
      </c>
      <c r="AO44" s="20">
        <f t="shared" ref="AO44:AO53" si="16">$AO$54/$F$54*F44</f>
        <v>3072.8769969633563</v>
      </c>
      <c r="AP44" s="59"/>
      <c r="AQ44" s="4">
        <f t="shared" ref="AQ44:AQ75" si="17">E44-L44-S44-Z44-AG44-AN44</f>
        <v>-9.9999999999999201E-2</v>
      </c>
    </row>
    <row r="45" spans="1:43" ht="51.75" thickBot="1" x14ac:dyDescent="0.25">
      <c r="A45" s="488"/>
      <c r="B45" s="464"/>
      <c r="C45" s="76" t="s">
        <v>66</v>
      </c>
      <c r="D45" s="75" t="s">
        <v>65</v>
      </c>
      <c r="E45" s="93">
        <v>30260</v>
      </c>
      <c r="F45" s="77">
        <v>7000</v>
      </c>
      <c r="G45" s="101">
        <f>E45/F45</f>
        <v>4.322857142857143</v>
      </c>
      <c r="H45" s="488"/>
      <c r="I45" s="464"/>
      <c r="J45" s="76" t="s">
        <v>66</v>
      </c>
      <c r="K45" s="75" t="s">
        <v>65</v>
      </c>
      <c r="L45" s="72">
        <f>$G$45*M45</f>
        <v>15588.10636956987</v>
      </c>
      <c r="M45" s="20">
        <f t="shared" si="12"/>
        <v>3605.9730531060504</v>
      </c>
      <c r="N45" s="91"/>
      <c r="O45" s="488"/>
      <c r="P45" s="464"/>
      <c r="Q45" s="76" t="s">
        <v>66</v>
      </c>
      <c r="R45" s="75" t="s">
        <v>65</v>
      </c>
      <c r="S45" s="72">
        <f>$G$45*T45</f>
        <v>68.070333491571489</v>
      </c>
      <c r="T45" s="20">
        <f t="shared" si="13"/>
        <v>15.746607218803714</v>
      </c>
      <c r="U45" s="77"/>
      <c r="V45" s="512"/>
      <c r="W45" s="464"/>
      <c r="X45" s="76" t="s">
        <v>66</v>
      </c>
      <c r="Y45" s="75" t="s">
        <v>65</v>
      </c>
      <c r="Z45" s="72">
        <f>$G$45*AA45</f>
        <v>12431.826094262766</v>
      </c>
      <c r="AA45" s="20">
        <f t="shared" si="14"/>
        <v>2875.8355142048699</v>
      </c>
      <c r="AB45" s="53"/>
      <c r="AC45" s="472"/>
      <c r="AD45" s="464"/>
      <c r="AE45" s="76" t="s">
        <v>66</v>
      </c>
      <c r="AF45" s="75" t="s">
        <v>65</v>
      </c>
      <c r="AG45" s="72">
        <f>$G$45*AH45</f>
        <v>57.157821123047199</v>
      </c>
      <c r="AH45" s="20">
        <f t="shared" si="15"/>
        <v>13.222232249217791</v>
      </c>
      <c r="AI45" s="53"/>
      <c r="AJ45" s="488"/>
      <c r="AK45" s="464"/>
      <c r="AL45" s="76" t="s">
        <v>66</v>
      </c>
      <c r="AM45" s="75" t="s">
        <v>65</v>
      </c>
      <c r="AN45" s="72">
        <f>$G$45*AO45</f>
        <v>2114.8393815527465</v>
      </c>
      <c r="AO45" s="20">
        <f t="shared" si="16"/>
        <v>489.22259322105833</v>
      </c>
      <c r="AP45" s="53"/>
      <c r="AQ45" s="4">
        <f t="shared" si="17"/>
        <v>0</v>
      </c>
    </row>
    <row r="46" spans="1:43" s="95" customFormat="1" ht="63.75" x14ac:dyDescent="0.2">
      <c r="A46" s="488"/>
      <c r="B46" s="464"/>
      <c r="C46" s="99" t="s">
        <v>64</v>
      </c>
      <c r="D46" s="98" t="s">
        <v>63</v>
      </c>
      <c r="E46" s="93">
        <v>82355.5</v>
      </c>
      <c r="F46" s="102">
        <v>65000</v>
      </c>
      <c r="G46" s="101">
        <f>E46/F46</f>
        <v>1.2670076923076923</v>
      </c>
      <c r="H46" s="488"/>
      <c r="I46" s="464"/>
      <c r="J46" s="99" t="s">
        <v>64</v>
      </c>
      <c r="K46" s="98" t="s">
        <v>63</v>
      </c>
      <c r="L46" s="72">
        <f>$G$46*M46</f>
        <v>42424.530539296473</v>
      </c>
      <c r="M46" s="97">
        <f t="shared" si="12"/>
        <v>33484.035493127609</v>
      </c>
      <c r="N46" s="100"/>
      <c r="O46" s="488"/>
      <c r="P46" s="464"/>
      <c r="Q46" s="99" t="s">
        <v>64</v>
      </c>
      <c r="R46" s="98" t="s">
        <v>63</v>
      </c>
      <c r="S46" s="72">
        <f>$G$46*T46</f>
        <v>185.2599586868842</v>
      </c>
      <c r="T46" s="97">
        <f t="shared" si="13"/>
        <v>146.21849560317736</v>
      </c>
      <c r="U46" s="102"/>
      <c r="V46" s="512"/>
      <c r="W46" s="464"/>
      <c r="X46" s="99" t="s">
        <v>64</v>
      </c>
      <c r="Y46" s="98" t="s">
        <v>63</v>
      </c>
      <c r="Z46" s="72">
        <f>$G$46*AA46</f>
        <v>33834.41024144274</v>
      </c>
      <c r="AA46" s="97">
        <f t="shared" si="14"/>
        <v>26704.186917616651</v>
      </c>
      <c r="AB46" s="96"/>
      <c r="AC46" s="472"/>
      <c r="AD46" s="464"/>
      <c r="AE46" s="99" t="s">
        <v>64</v>
      </c>
      <c r="AF46" s="98" t="s">
        <v>63</v>
      </c>
      <c r="AG46" s="72">
        <f>$G$46*AH46</f>
        <v>155.56050685720797</v>
      </c>
      <c r="AH46" s="97">
        <f t="shared" si="15"/>
        <v>122.77787088559379</v>
      </c>
      <c r="AI46" s="96"/>
      <c r="AJ46" s="488"/>
      <c r="AK46" s="464"/>
      <c r="AL46" s="99" t="s">
        <v>64</v>
      </c>
      <c r="AM46" s="98" t="s">
        <v>63</v>
      </c>
      <c r="AN46" s="72">
        <f>$G$46*AO46</f>
        <v>5755.7387537166951</v>
      </c>
      <c r="AO46" s="97">
        <f t="shared" si="16"/>
        <v>4542.7812227669701</v>
      </c>
      <c r="AP46" s="96"/>
      <c r="AQ46" s="4">
        <f t="shared" si="17"/>
        <v>0</v>
      </c>
    </row>
    <row r="47" spans="1:43" ht="25.5" x14ac:dyDescent="0.2">
      <c r="A47" s="488"/>
      <c r="B47" s="464"/>
      <c r="C47" s="76" t="s">
        <v>62</v>
      </c>
      <c r="D47" s="75" t="s">
        <v>61</v>
      </c>
      <c r="E47" s="72">
        <f>146.256+129.888</f>
        <v>276.14400000000001</v>
      </c>
      <c r="F47" s="77">
        <f>109868.36+123713.56</f>
        <v>233581.91999999998</v>
      </c>
      <c r="G47" s="92">
        <f>E47/F47</f>
        <v>1.1822147878568685E-3</v>
      </c>
      <c r="H47" s="488"/>
      <c r="I47" s="464"/>
      <c r="J47" s="76" t="s">
        <v>62</v>
      </c>
      <c r="K47" s="75" t="s">
        <v>61</v>
      </c>
      <c r="L47" s="72">
        <f>$G$47*M47</f>
        <v>142.25254611098816</v>
      </c>
      <c r="M47" s="20">
        <f t="shared" si="12"/>
        <v>120327.15845896759</v>
      </c>
      <c r="N47" s="91"/>
      <c r="O47" s="488"/>
      <c r="P47" s="464"/>
      <c r="Q47" s="76" t="s">
        <v>62</v>
      </c>
      <c r="R47" s="75" t="s">
        <v>61</v>
      </c>
      <c r="S47" s="72">
        <f>$G$47*T47</f>
        <v>0.62119015768990482</v>
      </c>
      <c r="T47" s="20">
        <f t="shared" si="13"/>
        <v>525.44610680771882</v>
      </c>
      <c r="U47" s="77"/>
      <c r="V47" s="512"/>
      <c r="W47" s="464"/>
      <c r="X47" s="76" t="s">
        <v>62</v>
      </c>
      <c r="Y47" s="75" t="s">
        <v>61</v>
      </c>
      <c r="Z47" s="72">
        <f>$G$47*AA47</f>
        <v>113.44924603351281</v>
      </c>
      <c r="AA47" s="20">
        <f t="shared" si="14"/>
        <v>95963.311573165818</v>
      </c>
      <c r="AB47" s="53"/>
      <c r="AC47" s="472"/>
      <c r="AD47" s="464"/>
      <c r="AE47" s="76" t="s">
        <v>62</v>
      </c>
      <c r="AF47" s="75" t="s">
        <v>61</v>
      </c>
      <c r="AG47" s="72">
        <f>$G$47*AH47</f>
        <v>0.52160572888971402</v>
      </c>
      <c r="AH47" s="20">
        <f t="shared" si="15"/>
        <v>441.21062792260142</v>
      </c>
      <c r="AI47" s="53"/>
      <c r="AJ47" s="488"/>
      <c r="AK47" s="464"/>
      <c r="AL47" s="76" t="s">
        <v>62</v>
      </c>
      <c r="AM47" s="75" t="s">
        <v>61</v>
      </c>
      <c r="AN47" s="72">
        <f>$G$47*AO47</f>
        <v>19.299411968919422</v>
      </c>
      <c r="AO47" s="20">
        <f t="shared" si="16"/>
        <v>16324.793233136255</v>
      </c>
      <c r="AP47" s="53"/>
      <c r="AQ47" s="4">
        <f t="shared" si="17"/>
        <v>0</v>
      </c>
    </row>
    <row r="48" spans="1:43" x14ac:dyDescent="0.2">
      <c r="A48" s="488"/>
      <c r="B48" s="464"/>
      <c r="C48" s="76" t="s">
        <v>60</v>
      </c>
      <c r="D48" s="75" t="s">
        <v>59</v>
      </c>
      <c r="E48" s="72"/>
      <c r="F48" s="77">
        <f>13663.3+19504.1</f>
        <v>33167.399999999994</v>
      </c>
      <c r="G48" s="92"/>
      <c r="H48" s="488"/>
      <c r="I48" s="464"/>
      <c r="J48" s="76" t="s">
        <v>60</v>
      </c>
      <c r="K48" s="75" t="s">
        <v>59</v>
      </c>
      <c r="L48" s="72"/>
      <c r="M48" s="20">
        <f t="shared" si="12"/>
        <v>17085.821520227084</v>
      </c>
      <c r="N48" s="91"/>
      <c r="O48" s="488"/>
      <c r="P48" s="464"/>
      <c r="Q48" s="76" t="s">
        <v>60</v>
      </c>
      <c r="R48" s="75" t="s">
        <v>59</v>
      </c>
      <c r="S48" s="72"/>
      <c r="T48" s="20">
        <f t="shared" si="13"/>
        <v>74.61057432413574</v>
      </c>
      <c r="U48" s="77"/>
      <c r="V48" s="512"/>
      <c r="W48" s="464"/>
      <c r="X48" s="76" t="s">
        <v>60</v>
      </c>
      <c r="Y48" s="75" t="s">
        <v>59</v>
      </c>
      <c r="Z48" s="72"/>
      <c r="AA48" s="20">
        <f t="shared" si="14"/>
        <v>13626.283833405512</v>
      </c>
      <c r="AB48" s="53"/>
      <c r="AC48" s="472"/>
      <c r="AD48" s="464"/>
      <c r="AE48" s="76" t="s">
        <v>60</v>
      </c>
      <c r="AF48" s="75" t="s">
        <v>59</v>
      </c>
      <c r="AG48" s="72"/>
      <c r="AH48" s="20">
        <f t="shared" si="15"/>
        <v>62.649580843243726</v>
      </c>
      <c r="AI48" s="53"/>
      <c r="AJ48" s="488"/>
      <c r="AK48" s="464"/>
      <c r="AL48" s="76" t="s">
        <v>60</v>
      </c>
      <c r="AM48" s="75" t="s">
        <v>59</v>
      </c>
      <c r="AN48" s="72"/>
      <c r="AO48" s="20">
        <f t="shared" si="16"/>
        <v>2318.0344912000182</v>
      </c>
      <c r="AP48" s="53"/>
      <c r="AQ48" s="4">
        <f t="shared" si="17"/>
        <v>0</v>
      </c>
    </row>
    <row r="49" spans="1:43" ht="51" x14ac:dyDescent="0.2">
      <c r="A49" s="488"/>
      <c r="B49" s="464"/>
      <c r="C49" s="76" t="s">
        <v>58</v>
      </c>
      <c r="D49" s="75" t="s">
        <v>57</v>
      </c>
      <c r="E49" s="72">
        <v>22</v>
      </c>
      <c r="F49" s="77">
        <v>150144</v>
      </c>
      <c r="G49" s="92">
        <f>E49/F49</f>
        <v>1.4652600170502985E-4</v>
      </c>
      <c r="H49" s="488"/>
      <c r="I49" s="464"/>
      <c r="J49" s="76" t="s">
        <v>58</v>
      </c>
      <c r="K49" s="75" t="s">
        <v>57</v>
      </c>
      <c r="L49" s="72">
        <f>$G$49*M49-0.1</f>
        <v>11.23305816690473</v>
      </c>
      <c r="M49" s="20">
        <f t="shared" si="12"/>
        <v>77345.031155079254</v>
      </c>
      <c r="N49" s="91"/>
      <c r="O49" s="488"/>
      <c r="P49" s="464"/>
      <c r="Q49" s="76" t="s">
        <v>58</v>
      </c>
      <c r="R49" s="75" t="s">
        <v>57</v>
      </c>
      <c r="S49" s="72">
        <f>$G$49*T49+0.1</f>
        <v>0.14948933697338312</v>
      </c>
      <c r="T49" s="20">
        <f t="shared" si="13"/>
        <v>337.75122775143785</v>
      </c>
      <c r="U49" s="77"/>
      <c r="V49" s="512"/>
      <c r="W49" s="464"/>
      <c r="X49" s="76" t="s">
        <v>58</v>
      </c>
      <c r="Y49" s="75" t="s">
        <v>57</v>
      </c>
      <c r="Z49" s="72">
        <f>$G$49*AA49-0.1</f>
        <v>8.9383401875010211</v>
      </c>
      <c r="AA49" s="20">
        <f t="shared" si="14"/>
        <v>61684.206777825144</v>
      </c>
      <c r="AB49" s="53"/>
      <c r="AC49" s="472"/>
      <c r="AD49" s="464"/>
      <c r="AE49" s="76" t="s">
        <v>58</v>
      </c>
      <c r="AF49" s="75" t="s">
        <v>57</v>
      </c>
      <c r="AG49" s="72">
        <f>$G$49*AH49+0.1</f>
        <v>0.1415555870689702</v>
      </c>
      <c r="AH49" s="20">
        <f t="shared" si="15"/>
        <v>283.6055484037937</v>
      </c>
      <c r="AI49" s="53"/>
      <c r="AJ49" s="488"/>
      <c r="AK49" s="464"/>
      <c r="AL49" s="76" t="s">
        <v>58</v>
      </c>
      <c r="AM49" s="75" t="s">
        <v>57</v>
      </c>
      <c r="AN49" s="72">
        <f>$G$49*AO49</f>
        <v>1.5375567215518977</v>
      </c>
      <c r="AO49" s="20">
        <f t="shared" si="16"/>
        <v>10493.405290940369</v>
      </c>
      <c r="AP49" s="53"/>
      <c r="AQ49" s="4">
        <f t="shared" si="17"/>
        <v>-2.2204460492503131E-15</v>
      </c>
    </row>
    <row r="50" spans="1:43" ht="25.5" x14ac:dyDescent="0.2">
      <c r="A50" s="488"/>
      <c r="B50" s="464"/>
      <c r="C50" s="76" t="s">
        <v>56</v>
      </c>
      <c r="D50" s="75" t="s">
        <v>12</v>
      </c>
      <c r="E50" s="72">
        <v>1</v>
      </c>
      <c r="F50" s="77">
        <v>40000</v>
      </c>
      <c r="G50" s="92">
        <f>E50/F50</f>
        <v>2.5000000000000001E-5</v>
      </c>
      <c r="H50" s="488"/>
      <c r="I50" s="464"/>
      <c r="J50" s="76" t="s">
        <v>56</v>
      </c>
      <c r="K50" s="75" t="s">
        <v>12</v>
      </c>
      <c r="L50" s="72">
        <f>$G$50*M50-0.1</f>
        <v>0.41513900758657873</v>
      </c>
      <c r="M50" s="20">
        <f t="shared" si="12"/>
        <v>20605.560303463146</v>
      </c>
      <c r="N50" s="91"/>
      <c r="O50" s="488"/>
      <c r="P50" s="464"/>
      <c r="Q50" s="76" t="s">
        <v>56</v>
      </c>
      <c r="R50" s="75" t="s">
        <v>12</v>
      </c>
      <c r="S50" s="72">
        <f>$G$50*T50+0.1</f>
        <v>0.10224951531697196</v>
      </c>
      <c r="T50" s="20">
        <f t="shared" si="13"/>
        <v>89.980612678878373</v>
      </c>
      <c r="U50" s="77"/>
      <c r="V50" s="512"/>
      <c r="W50" s="464"/>
      <c r="X50" s="76" t="s">
        <v>56</v>
      </c>
      <c r="Y50" s="75" t="s">
        <v>12</v>
      </c>
      <c r="Z50" s="72">
        <f>$G$50*AA50-0.1</f>
        <v>0.31083364488640997</v>
      </c>
      <c r="AA50" s="20">
        <f t="shared" si="14"/>
        <v>16433.3457954564</v>
      </c>
      <c r="AB50" s="53"/>
      <c r="AC50" s="472"/>
      <c r="AD50" s="464"/>
      <c r="AE50" s="76" t="s">
        <v>56</v>
      </c>
      <c r="AF50" s="75" t="s">
        <v>12</v>
      </c>
      <c r="AG50" s="72">
        <f>$G$50*AH50+0.1</f>
        <v>0.10188889032131683</v>
      </c>
      <c r="AH50" s="20">
        <f t="shared" si="15"/>
        <v>75.555612852673093</v>
      </c>
      <c r="AI50" s="53"/>
      <c r="AJ50" s="488"/>
      <c r="AK50" s="464"/>
      <c r="AL50" s="76" t="s">
        <v>56</v>
      </c>
      <c r="AM50" s="75" t="s">
        <v>12</v>
      </c>
      <c r="AN50" s="72">
        <f>$G$50*AO50</f>
        <v>6.9888941888722619E-2</v>
      </c>
      <c r="AO50" s="20">
        <f t="shared" si="16"/>
        <v>2795.5576755489046</v>
      </c>
      <c r="AP50" s="53"/>
      <c r="AQ50" s="4">
        <f t="shared" si="17"/>
        <v>-1.1102230246251565E-16</v>
      </c>
    </row>
    <row r="51" spans="1:43" hidden="1" x14ac:dyDescent="0.2">
      <c r="A51" s="488"/>
      <c r="B51" s="464"/>
      <c r="C51" s="76"/>
      <c r="D51" s="75"/>
      <c r="E51" s="72"/>
      <c r="F51" s="77"/>
      <c r="G51" s="92"/>
      <c r="H51" s="488"/>
      <c r="I51" s="464"/>
      <c r="J51" s="76"/>
      <c r="K51" s="75"/>
      <c r="L51" s="94"/>
      <c r="M51" s="20">
        <f t="shared" si="12"/>
        <v>0</v>
      </c>
      <c r="N51" s="91"/>
      <c r="O51" s="488"/>
      <c r="P51" s="464"/>
      <c r="Q51" s="76"/>
      <c r="R51" s="75"/>
      <c r="S51" s="72"/>
      <c r="T51" s="20">
        <f t="shared" si="13"/>
        <v>0</v>
      </c>
      <c r="U51" s="77"/>
      <c r="V51" s="512"/>
      <c r="W51" s="464"/>
      <c r="X51" s="76"/>
      <c r="Y51" s="75"/>
      <c r="Z51" s="72"/>
      <c r="AA51" s="20">
        <f t="shared" si="14"/>
        <v>0</v>
      </c>
      <c r="AB51" s="53"/>
      <c r="AC51" s="472"/>
      <c r="AD51" s="464"/>
      <c r="AE51" s="76"/>
      <c r="AF51" s="75"/>
      <c r="AG51" s="72"/>
      <c r="AH51" s="20">
        <f t="shared" si="15"/>
        <v>0</v>
      </c>
      <c r="AI51" s="53"/>
      <c r="AJ51" s="488"/>
      <c r="AK51" s="464"/>
      <c r="AL51" s="76"/>
      <c r="AM51" s="75"/>
      <c r="AN51" s="72"/>
      <c r="AO51" s="20">
        <f t="shared" si="16"/>
        <v>0</v>
      </c>
      <c r="AP51" s="53"/>
      <c r="AQ51" s="4">
        <f t="shared" si="17"/>
        <v>0</v>
      </c>
    </row>
    <row r="52" spans="1:43" ht="102" x14ac:dyDescent="0.2">
      <c r="A52" s="488"/>
      <c r="B52" s="464"/>
      <c r="C52" s="76" t="s">
        <v>55</v>
      </c>
      <c r="D52" s="75" t="s">
        <v>8</v>
      </c>
      <c r="E52" s="93">
        <f>3393+3637.5</f>
        <v>7030.5</v>
      </c>
      <c r="F52" s="77">
        <f>60000+36000</f>
        <v>96000</v>
      </c>
      <c r="G52" s="92">
        <f>E52/F52</f>
        <v>7.3234375000000004E-2</v>
      </c>
      <c r="H52" s="488"/>
      <c r="I52" s="464"/>
      <c r="J52" s="76" t="s">
        <v>55</v>
      </c>
      <c r="K52" s="75" t="s">
        <v>8</v>
      </c>
      <c r="L52" s="72">
        <f>$G$52*M52</f>
        <v>3621.6847928374409</v>
      </c>
      <c r="M52" s="20">
        <f t="shared" si="12"/>
        <v>49453.344728311546</v>
      </c>
      <c r="N52" s="91"/>
      <c r="O52" s="488"/>
      <c r="P52" s="464"/>
      <c r="Q52" s="76" t="s">
        <v>55</v>
      </c>
      <c r="R52" s="75" t="s">
        <v>8</v>
      </c>
      <c r="S52" s="72">
        <f>$G$52*T52</f>
        <v>15.815217435971361</v>
      </c>
      <c r="T52" s="20">
        <f t="shared" si="13"/>
        <v>215.95347042930808</v>
      </c>
      <c r="U52" s="77"/>
      <c r="V52" s="512"/>
      <c r="W52" s="464"/>
      <c r="X52" s="76" t="s">
        <v>55</v>
      </c>
      <c r="Y52" s="75" t="s">
        <v>8</v>
      </c>
      <c r="Z52" s="93">
        <f>$G$52*AA52</f>
        <v>2888.3659403739057</v>
      </c>
      <c r="AA52" s="20">
        <f t="shared" si="14"/>
        <v>39440.029909095363</v>
      </c>
      <c r="AB52" s="53"/>
      <c r="AC52" s="472"/>
      <c r="AD52" s="464"/>
      <c r="AE52" s="76" t="s">
        <v>55</v>
      </c>
      <c r="AF52" s="75" t="s">
        <v>8</v>
      </c>
      <c r="AG52" s="72">
        <f>$G$52*AH52</f>
        <v>13.279843404017955</v>
      </c>
      <c r="AH52" s="20">
        <f t="shared" si="15"/>
        <v>181.33347084641542</v>
      </c>
      <c r="AI52" s="53"/>
      <c r="AJ52" s="488"/>
      <c r="AK52" s="464"/>
      <c r="AL52" s="76" t="s">
        <v>55</v>
      </c>
      <c r="AM52" s="75" t="s">
        <v>8</v>
      </c>
      <c r="AN52" s="72">
        <f>$G$52*AO52</f>
        <v>491.3542059486644</v>
      </c>
      <c r="AO52" s="20">
        <f t="shared" si="16"/>
        <v>6709.3384213173713</v>
      </c>
      <c r="AP52" s="53"/>
      <c r="AQ52" s="4">
        <f t="shared" si="17"/>
        <v>0</v>
      </c>
    </row>
    <row r="53" spans="1:43" ht="243" thickBot="1" x14ac:dyDescent="0.25">
      <c r="A53" s="488"/>
      <c r="B53" s="464"/>
      <c r="C53" s="86" t="s">
        <v>54</v>
      </c>
      <c r="D53" s="85" t="s">
        <v>40</v>
      </c>
      <c r="E53" s="84">
        <f>161+231+65+18+21+5</f>
        <v>501</v>
      </c>
      <c r="F53" s="89">
        <f>71472+31915.8+4422.32+6170.39+18774+45892+30000</f>
        <v>208646.51</v>
      </c>
      <c r="G53" s="88">
        <f>E53/F53</f>
        <v>2.4011904153105651E-3</v>
      </c>
      <c r="H53" s="488"/>
      <c r="I53" s="464"/>
      <c r="J53" s="86" t="s">
        <v>54</v>
      </c>
      <c r="K53" s="85" t="s">
        <v>40</v>
      </c>
      <c r="L53" s="84">
        <f>$G$53*M53</f>
        <v>258.08464280087588</v>
      </c>
      <c r="M53" s="20">
        <f t="shared" si="12"/>
        <v>107481.95609780315</v>
      </c>
      <c r="N53" s="87"/>
      <c r="O53" s="488"/>
      <c r="P53" s="464"/>
      <c r="Q53" s="86" t="s">
        <v>54</v>
      </c>
      <c r="R53" s="85" t="s">
        <v>40</v>
      </c>
      <c r="S53" s="84">
        <f>$G$53*T53</f>
        <v>1.1270071738029517</v>
      </c>
      <c r="T53" s="20">
        <f t="shared" si="13"/>
        <v>469.3535200777431</v>
      </c>
      <c r="U53" s="89"/>
      <c r="V53" s="512"/>
      <c r="W53" s="464"/>
      <c r="X53" s="86" t="s">
        <v>54</v>
      </c>
      <c r="Y53" s="85" t="s">
        <v>40</v>
      </c>
      <c r="Z53" s="84">
        <f>$G$53*AA53</f>
        <v>205.82765608809143</v>
      </c>
      <c r="AA53" s="20">
        <f t="shared" si="14"/>
        <v>85719.006196128801</v>
      </c>
      <c r="AB53" s="83"/>
      <c r="AC53" s="472"/>
      <c r="AD53" s="464"/>
      <c r="AE53" s="86" t="s">
        <v>54</v>
      </c>
      <c r="AF53" s="85" t="s">
        <v>40</v>
      </c>
      <c r="AG53" s="84">
        <f>$G$53*AH53</f>
        <v>0.94633405097973056</v>
      </c>
      <c r="AH53" s="20">
        <f t="shared" si="15"/>
        <v>394.11037331553467</v>
      </c>
      <c r="AI53" s="83"/>
      <c r="AJ53" s="488"/>
      <c r="AK53" s="464"/>
      <c r="AL53" s="86" t="s">
        <v>54</v>
      </c>
      <c r="AM53" s="85" t="s">
        <v>40</v>
      </c>
      <c r="AN53" s="84">
        <f>$G$53*AO53</f>
        <v>35.014359886250034</v>
      </c>
      <c r="AO53" s="20">
        <f t="shared" si="16"/>
        <v>14582.083812674784</v>
      </c>
      <c r="AP53" s="83"/>
      <c r="AQ53" s="4">
        <f t="shared" si="17"/>
        <v>0</v>
      </c>
    </row>
    <row r="54" spans="1:43" ht="15" hidden="1" customHeight="1" thickBot="1" x14ac:dyDescent="0.25">
      <c r="A54" s="488"/>
      <c r="B54" s="465"/>
      <c r="C54" s="81" t="s">
        <v>2</v>
      </c>
      <c r="D54" s="80"/>
      <c r="E54" s="79"/>
      <c r="F54" s="82">
        <f>SUM(F44:F53)</f>
        <v>877507.83</v>
      </c>
      <c r="G54" s="78">
        <f>SUM(G44:G53)</f>
        <v>5.6673317614570449</v>
      </c>
      <c r="H54" s="488"/>
      <c r="I54" s="465"/>
      <c r="J54" s="81" t="s">
        <v>2</v>
      </c>
      <c r="K54" s="80"/>
      <c r="L54" s="79"/>
      <c r="M54" s="68">
        <f>454012.48/460*458</f>
        <v>452038.51269565214</v>
      </c>
      <c r="N54" s="78">
        <f>SUM(N44:N53)</f>
        <v>0</v>
      </c>
      <c r="O54" s="488"/>
      <c r="P54" s="465"/>
      <c r="Q54" s="81" t="s">
        <v>2</v>
      </c>
      <c r="R54" s="80"/>
      <c r="S54" s="79"/>
      <c r="T54" s="51">
        <f>454012.48/460*2</f>
        <v>1973.967304347826</v>
      </c>
      <c r="U54" s="366">
        <f>SUM(U44:U53)</f>
        <v>0</v>
      </c>
      <c r="V54" s="512"/>
      <c r="W54" s="464"/>
      <c r="X54" s="231" t="s">
        <v>2</v>
      </c>
      <c r="Y54" s="80"/>
      <c r="Z54" s="329"/>
      <c r="AA54" s="195">
        <f>423495.35/SUM($J$2:$L$2)*J2</f>
        <v>360509.7402152642</v>
      </c>
      <c r="AB54" s="78">
        <f>SUM(AB44:AB53)</f>
        <v>0</v>
      </c>
      <c r="AC54" s="472"/>
      <c r="AD54" s="465"/>
      <c r="AE54" s="81" t="s">
        <v>2</v>
      </c>
      <c r="AF54" s="80"/>
      <c r="AG54" s="79"/>
      <c r="AH54" s="68">
        <f>423495.35/SUM($J$2:$L$2)*K2</f>
        <v>1657.5160469667319</v>
      </c>
      <c r="AI54" s="78">
        <f>SUM(AI44:AI53)</f>
        <v>0</v>
      </c>
      <c r="AJ54" s="488"/>
      <c r="AK54" s="465"/>
      <c r="AL54" s="81" t="s">
        <v>2</v>
      </c>
      <c r="AM54" s="80"/>
      <c r="AN54" s="79"/>
      <c r="AO54" s="68">
        <f>423495.35/SUM($J$2:$L$2)*L2</f>
        <v>61328.093737769079</v>
      </c>
      <c r="AP54" s="78">
        <f>SUM(AP44:AP53)</f>
        <v>0</v>
      </c>
      <c r="AQ54" s="4">
        <f t="shared" si="17"/>
        <v>0</v>
      </c>
    </row>
    <row r="55" spans="1:43" s="95" customFormat="1" ht="15" thickBot="1" x14ac:dyDescent="0.25">
      <c r="A55" s="488"/>
      <c r="B55" s="465"/>
      <c r="C55" s="508" t="s">
        <v>53</v>
      </c>
      <c r="D55" s="483"/>
      <c r="E55" s="483"/>
      <c r="F55" s="483"/>
      <c r="G55" s="485"/>
      <c r="H55" s="488"/>
      <c r="I55" s="465"/>
      <c r="J55" s="508" t="s">
        <v>53</v>
      </c>
      <c r="K55" s="483"/>
      <c r="L55" s="483"/>
      <c r="M55" s="484"/>
      <c r="N55" s="485"/>
      <c r="O55" s="488"/>
      <c r="P55" s="465"/>
      <c r="Q55" s="508" t="s">
        <v>53</v>
      </c>
      <c r="R55" s="483"/>
      <c r="S55" s="483"/>
      <c r="T55" s="510"/>
      <c r="U55" s="509"/>
      <c r="V55" s="512"/>
      <c r="W55" s="464"/>
      <c r="X55" s="482" t="s">
        <v>53</v>
      </c>
      <c r="Y55" s="483"/>
      <c r="Z55" s="483"/>
      <c r="AA55" s="510"/>
      <c r="AB55" s="485"/>
      <c r="AC55" s="472"/>
      <c r="AD55" s="465"/>
      <c r="AE55" s="508" t="s">
        <v>53</v>
      </c>
      <c r="AF55" s="483"/>
      <c r="AG55" s="483"/>
      <c r="AH55" s="484"/>
      <c r="AI55" s="485"/>
      <c r="AJ55" s="488"/>
      <c r="AK55" s="465"/>
      <c r="AL55" s="508" t="s">
        <v>53</v>
      </c>
      <c r="AM55" s="483"/>
      <c r="AN55" s="483"/>
      <c r="AO55" s="484"/>
      <c r="AP55" s="485"/>
      <c r="AQ55" s="216">
        <f t="shared" si="17"/>
        <v>0</v>
      </c>
    </row>
    <row r="56" spans="1:43" ht="76.5" x14ac:dyDescent="0.2">
      <c r="A56" s="488"/>
      <c r="B56" s="464"/>
      <c r="C56" s="76" t="s">
        <v>52</v>
      </c>
      <c r="D56" s="75" t="s">
        <v>8</v>
      </c>
      <c r="E56" s="30">
        <f>3393+3637.5</f>
        <v>7030.5</v>
      </c>
      <c r="F56" s="77">
        <f>93870+17000+51000+10000</f>
        <v>171870</v>
      </c>
      <c r="G56" s="53">
        <f>E56/F56</f>
        <v>4.0905917263047653E-2</v>
      </c>
      <c r="H56" s="488"/>
      <c r="I56" s="464"/>
      <c r="J56" s="76" t="s">
        <v>52</v>
      </c>
      <c r="K56" s="75" t="s">
        <v>8</v>
      </c>
      <c r="L56" s="72">
        <f>$G$56*M56</f>
        <v>3316.1369721936153</v>
      </c>
      <c r="M56" s="20">
        <f>$M$59/$F$59*F56</f>
        <v>81067.41503604532</v>
      </c>
      <c r="N56" s="53"/>
      <c r="O56" s="488"/>
      <c r="P56" s="464"/>
      <c r="Q56" s="76" t="s">
        <v>52</v>
      </c>
      <c r="R56" s="75" t="s">
        <v>8</v>
      </c>
      <c r="S56" s="58">
        <f>$G$56*T56</f>
        <v>14.480947476828014</v>
      </c>
      <c r="T56" s="20">
        <f>$T$59/$F$59*F56</f>
        <v>354.00617919670447</v>
      </c>
      <c r="U56" s="77"/>
      <c r="V56" s="512"/>
      <c r="W56" s="464"/>
      <c r="X56" s="76" t="s">
        <v>52</v>
      </c>
      <c r="Y56" s="75" t="s">
        <v>8</v>
      </c>
      <c r="Z56" s="72">
        <f>$G$56*AA56</f>
        <v>3149.6060762100929</v>
      </c>
      <c r="AA56" s="20">
        <f>$AA$59/$F$59*F56</f>
        <v>76996.34397528322</v>
      </c>
      <c r="AB56" s="53"/>
      <c r="AC56" s="472"/>
      <c r="AD56" s="464"/>
      <c r="AE56" s="76" t="s">
        <v>52</v>
      </c>
      <c r="AF56" s="75" t="s">
        <v>8</v>
      </c>
      <c r="AG56" s="72">
        <f>$G$56*AH56</f>
        <v>14.480947476828014</v>
      </c>
      <c r="AH56" s="20">
        <f>$AH$59/$F$59*F56</f>
        <v>354.00617919670447</v>
      </c>
      <c r="AI56" s="53"/>
      <c r="AJ56" s="488"/>
      <c r="AK56" s="464"/>
      <c r="AL56" s="76" t="s">
        <v>52</v>
      </c>
      <c r="AM56" s="75" t="s">
        <v>8</v>
      </c>
      <c r="AN56" s="72">
        <f>$G$56*AO56</f>
        <v>535.79505664263661</v>
      </c>
      <c r="AO56" s="20">
        <f>$AO$59/$F$59*F56</f>
        <v>13098.228630278067</v>
      </c>
      <c r="AP56" s="53"/>
      <c r="AQ56" s="4">
        <f t="shared" si="17"/>
        <v>0</v>
      </c>
    </row>
    <row r="57" spans="1:43" x14ac:dyDescent="0.2">
      <c r="A57" s="488"/>
      <c r="B57" s="464"/>
      <c r="C57" s="76" t="s">
        <v>51</v>
      </c>
      <c r="D57" s="75" t="s">
        <v>12</v>
      </c>
      <c r="E57" s="30">
        <v>1</v>
      </c>
      <c r="F57" s="77">
        <v>20000</v>
      </c>
      <c r="G57" s="53">
        <f>E57/F57</f>
        <v>5.0000000000000002E-5</v>
      </c>
      <c r="H57" s="488"/>
      <c r="I57" s="464"/>
      <c r="J57" s="76" t="s">
        <v>51</v>
      </c>
      <c r="K57" s="75" t="s">
        <v>12</v>
      </c>
      <c r="L57" s="72">
        <f>$G$57*M57-0.1</f>
        <v>0.37167868177136976</v>
      </c>
      <c r="M57" s="20">
        <f>$M$59/$F$59*F57</f>
        <v>9433.573635427394</v>
      </c>
      <c r="N57" s="53"/>
      <c r="O57" s="488"/>
      <c r="P57" s="464"/>
      <c r="Q57" s="76" t="s">
        <v>51</v>
      </c>
      <c r="R57" s="75" t="s">
        <v>12</v>
      </c>
      <c r="S57" s="58">
        <f>$G$57*T57+0.1</f>
        <v>0.10205973223480948</v>
      </c>
      <c r="T57" s="20">
        <f>$T$59/$F$59*F57</f>
        <v>41.194644696189499</v>
      </c>
      <c r="U57" s="77"/>
      <c r="V57" s="512"/>
      <c r="W57" s="464"/>
      <c r="X57" s="76" t="s">
        <v>51</v>
      </c>
      <c r="Y57" s="75" t="s">
        <v>12</v>
      </c>
      <c r="Z57" s="72">
        <f>$G$57*AA57-0.1</f>
        <v>0.34799176107106078</v>
      </c>
      <c r="AA57" s="20">
        <f>$AA$59/$F$59*F57</f>
        <v>8959.8352214212155</v>
      </c>
      <c r="AB57" s="53"/>
      <c r="AC57" s="472"/>
      <c r="AD57" s="464"/>
      <c r="AE57" s="76" t="s">
        <v>51</v>
      </c>
      <c r="AF57" s="75" t="s">
        <v>12</v>
      </c>
      <c r="AG57" s="72">
        <f>$G$57*AH57+0.1</f>
        <v>0.10205973223480948</v>
      </c>
      <c r="AH57" s="20">
        <f>$AH$59/$F$59*F57</f>
        <v>41.194644696189499</v>
      </c>
      <c r="AI57" s="53"/>
      <c r="AJ57" s="488"/>
      <c r="AK57" s="464"/>
      <c r="AL57" s="76" t="s">
        <v>51</v>
      </c>
      <c r="AM57" s="75" t="s">
        <v>12</v>
      </c>
      <c r="AN57" s="72">
        <f>$G$57*AO57</f>
        <v>7.6210092687950579E-2</v>
      </c>
      <c r="AO57" s="20">
        <f>$AO$59/$F$59*F57</f>
        <v>1524.2018537590116</v>
      </c>
      <c r="AP57" s="53"/>
      <c r="AQ57" s="4">
        <f t="shared" si="17"/>
        <v>0</v>
      </c>
    </row>
    <row r="58" spans="1:43" ht="26.25" thickBot="1" x14ac:dyDescent="0.25">
      <c r="A58" s="488"/>
      <c r="B58" s="464"/>
      <c r="C58" s="73" t="s">
        <v>50</v>
      </c>
      <c r="D58" s="56" t="s">
        <v>12</v>
      </c>
      <c r="E58" s="74">
        <v>1</v>
      </c>
      <c r="F58" s="32">
        <v>60000</v>
      </c>
      <c r="G58" s="53">
        <f>E58/F58</f>
        <v>1.6666666666666667E-5</v>
      </c>
      <c r="H58" s="488"/>
      <c r="I58" s="464"/>
      <c r="J58" s="73" t="s">
        <v>50</v>
      </c>
      <c r="K58" s="56" t="s">
        <v>12</v>
      </c>
      <c r="L58" s="72">
        <f>$G$58*M58-0.1</f>
        <v>0.37167868177136976</v>
      </c>
      <c r="M58" s="20">
        <f>$M$59/$F$59*F58</f>
        <v>28300.720906282186</v>
      </c>
      <c r="N58" s="71"/>
      <c r="O58" s="488"/>
      <c r="P58" s="464"/>
      <c r="Q58" s="73" t="s">
        <v>50</v>
      </c>
      <c r="R58" s="56" t="s">
        <v>12</v>
      </c>
      <c r="S58" s="58">
        <f>$G$58*T58+0.1</f>
        <v>0.10205973223480948</v>
      </c>
      <c r="T58" s="20">
        <f>$T$59/$F$59*F58</f>
        <v>123.58393408856851</v>
      </c>
      <c r="U58" s="42"/>
      <c r="V58" s="512"/>
      <c r="W58" s="464"/>
      <c r="X58" s="73" t="s">
        <v>50</v>
      </c>
      <c r="Y58" s="56" t="s">
        <v>12</v>
      </c>
      <c r="Z58" s="72">
        <f>$G$58*AA58-0.1</f>
        <v>0.34799176107106078</v>
      </c>
      <c r="AA58" s="20">
        <f>$AA$59/$F$59*F58</f>
        <v>26879.505664263648</v>
      </c>
      <c r="AB58" s="71"/>
      <c r="AC58" s="472"/>
      <c r="AD58" s="464"/>
      <c r="AE58" s="73" t="s">
        <v>50</v>
      </c>
      <c r="AF58" s="56" t="s">
        <v>12</v>
      </c>
      <c r="AG58" s="72">
        <f>$G$58*AH58+0.1</f>
        <v>0.10205973223480948</v>
      </c>
      <c r="AH58" s="20">
        <f>$AH$59/$F$59*F58</f>
        <v>123.58393408856851</v>
      </c>
      <c r="AI58" s="71"/>
      <c r="AJ58" s="488"/>
      <c r="AK58" s="464"/>
      <c r="AL58" s="73" t="s">
        <v>50</v>
      </c>
      <c r="AM58" s="56" t="s">
        <v>12</v>
      </c>
      <c r="AN58" s="72">
        <f>$G$58*AO58</f>
        <v>7.6210092687950592E-2</v>
      </c>
      <c r="AO58" s="20">
        <f>$AO$59/$F$59*F58</f>
        <v>4572.6055612770351</v>
      </c>
      <c r="AP58" s="71"/>
      <c r="AQ58" s="4">
        <f t="shared" si="17"/>
        <v>0</v>
      </c>
    </row>
    <row r="59" spans="1:43" ht="15" hidden="1" customHeight="1" thickBot="1" x14ac:dyDescent="0.25">
      <c r="A59" s="488"/>
      <c r="B59" s="464"/>
      <c r="C59" s="70" t="s">
        <v>2</v>
      </c>
      <c r="D59" s="69"/>
      <c r="E59" s="69"/>
      <c r="F59" s="52">
        <f>SUM(F56:F58)</f>
        <v>251870</v>
      </c>
      <c r="G59" s="67"/>
      <c r="H59" s="488"/>
      <c r="I59" s="464"/>
      <c r="J59" s="70" t="s">
        <v>2</v>
      </c>
      <c r="K59" s="69"/>
      <c r="L59" s="69"/>
      <c r="M59" s="68">
        <f>$F$59/$G$2*H2</f>
        <v>118801.7095777549</v>
      </c>
      <c r="N59" s="67"/>
      <c r="O59" s="488"/>
      <c r="P59" s="464"/>
      <c r="Q59" s="70" t="s">
        <v>2</v>
      </c>
      <c r="R59" s="69"/>
      <c r="S59" s="69"/>
      <c r="T59" s="68">
        <f>$F$59/$G$2*I2</f>
        <v>518.78475798146246</v>
      </c>
      <c r="U59" s="367"/>
      <c r="V59" s="512"/>
      <c r="W59" s="464"/>
      <c r="X59" s="233" t="s">
        <v>2</v>
      </c>
      <c r="Y59" s="234"/>
      <c r="Z59" s="234"/>
      <c r="AA59" s="235">
        <f>$F$59/$G$2*J2</f>
        <v>112835.68486096809</v>
      </c>
      <c r="AB59" s="236"/>
      <c r="AC59" s="472"/>
      <c r="AD59" s="464"/>
      <c r="AE59" s="70" t="s">
        <v>2</v>
      </c>
      <c r="AF59" s="69"/>
      <c r="AG59" s="69"/>
      <c r="AH59" s="68">
        <f>$F$59/$G$2*K2</f>
        <v>518.78475798146246</v>
      </c>
      <c r="AI59" s="67"/>
      <c r="AJ59" s="488"/>
      <c r="AK59" s="464"/>
      <c r="AL59" s="70" t="s">
        <v>2</v>
      </c>
      <c r="AM59" s="69"/>
      <c r="AN59" s="69"/>
      <c r="AO59" s="68">
        <f>$F$59/$G$2*L2</f>
        <v>19195.036045314111</v>
      </c>
      <c r="AP59" s="67"/>
      <c r="AQ59" s="4">
        <f t="shared" si="17"/>
        <v>0</v>
      </c>
    </row>
    <row r="60" spans="1:43" s="95" customFormat="1" ht="15" thickBot="1" x14ac:dyDescent="0.25">
      <c r="A60" s="488"/>
      <c r="B60" s="464"/>
      <c r="C60" s="506" t="s">
        <v>49</v>
      </c>
      <c r="D60" s="506"/>
      <c r="E60" s="506"/>
      <c r="F60" s="506"/>
      <c r="G60" s="507"/>
      <c r="H60" s="488"/>
      <c r="I60" s="464"/>
      <c r="J60" s="506" t="s">
        <v>49</v>
      </c>
      <c r="K60" s="506"/>
      <c r="L60" s="506"/>
      <c r="M60" s="506"/>
      <c r="N60" s="507"/>
      <c r="O60" s="488"/>
      <c r="P60" s="464"/>
      <c r="Q60" s="506" t="s">
        <v>49</v>
      </c>
      <c r="R60" s="506"/>
      <c r="S60" s="506"/>
      <c r="T60" s="506"/>
      <c r="U60" s="506"/>
      <c r="V60" s="512"/>
      <c r="W60" s="464"/>
      <c r="X60" s="476" t="s">
        <v>49</v>
      </c>
      <c r="Y60" s="477"/>
      <c r="Z60" s="477"/>
      <c r="AA60" s="477"/>
      <c r="AB60" s="478"/>
      <c r="AC60" s="472"/>
      <c r="AD60" s="464"/>
      <c r="AE60" s="506" t="s">
        <v>49</v>
      </c>
      <c r="AF60" s="506"/>
      <c r="AG60" s="506"/>
      <c r="AH60" s="506"/>
      <c r="AI60" s="507"/>
      <c r="AJ60" s="488"/>
      <c r="AK60" s="464"/>
      <c r="AL60" s="506" t="s">
        <v>49</v>
      </c>
      <c r="AM60" s="506"/>
      <c r="AN60" s="506"/>
      <c r="AO60" s="506"/>
      <c r="AP60" s="507"/>
      <c r="AQ60" s="216">
        <f t="shared" si="17"/>
        <v>0</v>
      </c>
    </row>
    <row r="61" spans="1:43" ht="26.25" thickBot="1" x14ac:dyDescent="0.25">
      <c r="A61" s="488"/>
      <c r="B61" s="465"/>
      <c r="C61" s="64" t="s">
        <v>48</v>
      </c>
      <c r="D61" s="63" t="s">
        <v>44</v>
      </c>
      <c r="E61" s="66">
        <v>10</v>
      </c>
      <c r="F61" s="65">
        <v>75600</v>
      </c>
      <c r="G61" s="59">
        <f t="shared" ref="G61:G66" si="18">E61/F61</f>
        <v>1.3227513227513228E-4</v>
      </c>
      <c r="H61" s="488"/>
      <c r="I61" s="465"/>
      <c r="J61" s="64" t="s">
        <v>48</v>
      </c>
      <c r="K61" s="63" t="s">
        <v>44</v>
      </c>
      <c r="L61" s="58">
        <f>$G$61*M61-0.1</f>
        <v>4.6167868177136979</v>
      </c>
      <c r="M61" s="54">
        <f t="shared" ref="M61:M66" si="19">$M$67/$F$67*F61</f>
        <v>35658.90834191555</v>
      </c>
      <c r="N61" s="59"/>
      <c r="O61" s="488"/>
      <c r="P61" s="465"/>
      <c r="Q61" s="64" t="s">
        <v>48</v>
      </c>
      <c r="R61" s="63" t="s">
        <v>44</v>
      </c>
      <c r="S61" s="58">
        <f>$G$61*T61+0.1</f>
        <v>0.12059732234809475</v>
      </c>
      <c r="T61" s="54">
        <f t="shared" ref="T61:T66" si="20">$T$67/$F$67*F61</f>
        <v>155.71575695159629</v>
      </c>
      <c r="U61" s="107"/>
      <c r="V61" s="512"/>
      <c r="W61" s="464"/>
      <c r="X61" s="237" t="s">
        <v>48</v>
      </c>
      <c r="Y61" s="238" t="s">
        <v>44</v>
      </c>
      <c r="Z61" s="232">
        <f>$G$61*AA61-0.1</f>
        <v>4.3799176107106081</v>
      </c>
      <c r="AA61" s="239">
        <f t="shared" ref="AA61:AA66" si="21">$AA$67/$F$67*F61</f>
        <v>33868.17713697219</v>
      </c>
      <c r="AB61" s="240"/>
      <c r="AC61" s="472"/>
      <c r="AD61" s="465"/>
      <c r="AE61" s="64" t="s">
        <v>48</v>
      </c>
      <c r="AF61" s="63" t="s">
        <v>44</v>
      </c>
      <c r="AG61" s="55">
        <f>$G$61*AH61+0.1</f>
        <v>0.12059732234809475</v>
      </c>
      <c r="AH61" s="54">
        <f t="shared" ref="AH61:AH66" si="22">$AH$67/$F$67*F61</f>
        <v>155.71575695159629</v>
      </c>
      <c r="AI61" s="59"/>
      <c r="AJ61" s="488"/>
      <c r="AK61" s="465"/>
      <c r="AL61" s="64" t="s">
        <v>48</v>
      </c>
      <c r="AM61" s="63" t="s">
        <v>44</v>
      </c>
      <c r="AN61" s="55">
        <f>$G$61*AO61</f>
        <v>0.7621009268795057</v>
      </c>
      <c r="AO61" s="54">
        <f t="shared" ref="AO61:AO66" si="23">$AO$67/$F$67*F61</f>
        <v>5761.4830072090626</v>
      </c>
      <c r="AP61" s="59"/>
      <c r="AQ61" s="4">
        <f t="shared" si="17"/>
        <v>-1.4432899320127035E-15</v>
      </c>
    </row>
    <row r="62" spans="1:43" ht="51.75" thickBot="1" x14ac:dyDescent="0.25">
      <c r="A62" s="488"/>
      <c r="B62" s="465"/>
      <c r="C62" s="57" t="s">
        <v>47</v>
      </c>
      <c r="D62" s="56" t="s">
        <v>44</v>
      </c>
      <c r="E62" s="61">
        <v>6</v>
      </c>
      <c r="F62" s="60">
        <v>12744</v>
      </c>
      <c r="G62" s="59">
        <f t="shared" si="18"/>
        <v>4.7080979284369113E-4</v>
      </c>
      <c r="H62" s="488"/>
      <c r="I62" s="465"/>
      <c r="J62" s="57" t="s">
        <v>47</v>
      </c>
      <c r="K62" s="56" t="s">
        <v>44</v>
      </c>
      <c r="L62" s="58">
        <f>$G$62*M62-0.1</f>
        <v>2.7300720906282181</v>
      </c>
      <c r="M62" s="54">
        <f t="shared" si="19"/>
        <v>6011.0731204943359</v>
      </c>
      <c r="N62" s="53"/>
      <c r="O62" s="488"/>
      <c r="P62" s="465"/>
      <c r="Q62" s="57" t="s">
        <v>47</v>
      </c>
      <c r="R62" s="56" t="s">
        <v>44</v>
      </c>
      <c r="S62" s="58">
        <f>$G$62*T62+0.1</f>
        <v>0.11235839340885685</v>
      </c>
      <c r="T62" s="54">
        <f t="shared" si="20"/>
        <v>26.249227600411945</v>
      </c>
      <c r="U62" s="77"/>
      <c r="V62" s="512"/>
      <c r="W62" s="464"/>
      <c r="X62" s="73" t="s">
        <v>47</v>
      </c>
      <c r="Y62" s="56" t="s">
        <v>44</v>
      </c>
      <c r="Z62" s="58">
        <f>$G$62*AA62-0.1</f>
        <v>2.5879505664263642</v>
      </c>
      <c r="AA62" s="54">
        <f t="shared" si="21"/>
        <v>5709.2070030895984</v>
      </c>
      <c r="AB62" s="53"/>
      <c r="AC62" s="472"/>
      <c r="AD62" s="465"/>
      <c r="AE62" s="57" t="s">
        <v>47</v>
      </c>
      <c r="AF62" s="56" t="s">
        <v>44</v>
      </c>
      <c r="AG62" s="55">
        <f>$G$62*AH62+0.1</f>
        <v>0.11235839340885685</v>
      </c>
      <c r="AH62" s="54">
        <f t="shared" si="22"/>
        <v>26.249227600411945</v>
      </c>
      <c r="AI62" s="53"/>
      <c r="AJ62" s="488"/>
      <c r="AK62" s="465"/>
      <c r="AL62" s="57" t="s">
        <v>47</v>
      </c>
      <c r="AM62" s="56" t="s">
        <v>44</v>
      </c>
      <c r="AN62" s="55">
        <f>$G$62*AO62</f>
        <v>0.45726055612770339</v>
      </c>
      <c r="AO62" s="54">
        <f t="shared" si="23"/>
        <v>971.221421215242</v>
      </c>
      <c r="AP62" s="53"/>
      <c r="AQ62" s="4">
        <f t="shared" si="17"/>
        <v>4.4408920985006262E-16</v>
      </c>
    </row>
    <row r="63" spans="1:43" ht="26.25" thickBot="1" x14ac:dyDescent="0.25">
      <c r="A63" s="488"/>
      <c r="B63" s="465"/>
      <c r="C63" s="57" t="s">
        <v>46</v>
      </c>
      <c r="D63" s="56" t="s">
        <v>44</v>
      </c>
      <c r="E63" s="61">
        <v>10</v>
      </c>
      <c r="F63" s="60">
        <v>11640</v>
      </c>
      <c r="G63" s="59">
        <f t="shared" si="18"/>
        <v>8.5910652920962198E-4</v>
      </c>
      <c r="H63" s="488"/>
      <c r="I63" s="465"/>
      <c r="J63" s="57" t="s">
        <v>46</v>
      </c>
      <c r="K63" s="56" t="s">
        <v>44</v>
      </c>
      <c r="L63" s="58">
        <f>$G$63*M63-0.1</f>
        <v>4.6167868177136979</v>
      </c>
      <c r="M63" s="54">
        <f t="shared" si="19"/>
        <v>5490.3398558187437</v>
      </c>
      <c r="N63" s="53"/>
      <c r="O63" s="488"/>
      <c r="P63" s="465"/>
      <c r="Q63" s="57" t="s">
        <v>46</v>
      </c>
      <c r="R63" s="56" t="s">
        <v>44</v>
      </c>
      <c r="S63" s="58">
        <f>$G$63*T63+0.1</f>
        <v>0.12059732234809475</v>
      </c>
      <c r="T63" s="54">
        <f t="shared" si="20"/>
        <v>23.975283213182287</v>
      </c>
      <c r="U63" s="77"/>
      <c r="V63" s="512"/>
      <c r="W63" s="464"/>
      <c r="X63" s="73" t="s">
        <v>46</v>
      </c>
      <c r="Y63" s="56" t="s">
        <v>44</v>
      </c>
      <c r="Z63" s="58">
        <f>$G$63*AA63-0.1</f>
        <v>4.3799176107106073</v>
      </c>
      <c r="AA63" s="54">
        <f t="shared" si="21"/>
        <v>5214.624098867147</v>
      </c>
      <c r="AB63" s="53"/>
      <c r="AC63" s="472"/>
      <c r="AD63" s="465"/>
      <c r="AE63" s="57" t="s">
        <v>46</v>
      </c>
      <c r="AF63" s="56" t="s">
        <v>44</v>
      </c>
      <c r="AG63" s="55">
        <f>$G$63*AH63+0.1</f>
        <v>0.12059732234809475</v>
      </c>
      <c r="AH63" s="54">
        <f t="shared" si="22"/>
        <v>23.975283213182287</v>
      </c>
      <c r="AI63" s="53"/>
      <c r="AJ63" s="488"/>
      <c r="AK63" s="465"/>
      <c r="AL63" s="57" t="s">
        <v>46</v>
      </c>
      <c r="AM63" s="56" t="s">
        <v>44</v>
      </c>
      <c r="AN63" s="55">
        <f>$G$63*AO63</f>
        <v>0.76210092687950559</v>
      </c>
      <c r="AO63" s="54">
        <f t="shared" si="23"/>
        <v>887.08547888774456</v>
      </c>
      <c r="AP63" s="53"/>
      <c r="AQ63" s="4">
        <f t="shared" si="17"/>
        <v>0</v>
      </c>
    </row>
    <row r="64" spans="1:43" ht="26.25" thickBot="1" x14ac:dyDescent="0.25">
      <c r="A64" s="488"/>
      <c r="B64" s="465"/>
      <c r="C64" s="57" t="s">
        <v>45</v>
      </c>
      <c r="D64" s="56" t="s">
        <v>44</v>
      </c>
      <c r="E64" s="61">
        <v>1</v>
      </c>
      <c r="F64" s="60">
        <v>7666.0499999999993</v>
      </c>
      <c r="G64" s="59">
        <f t="shared" si="18"/>
        <v>1.3044527494602827E-4</v>
      </c>
      <c r="H64" s="488"/>
      <c r="I64" s="465"/>
      <c r="J64" s="57" t="s">
        <v>45</v>
      </c>
      <c r="K64" s="56" t="s">
        <v>44</v>
      </c>
      <c r="L64" s="58">
        <f>$G$64*M64-0.1</f>
        <v>0.37167868177136976</v>
      </c>
      <c r="M64" s="54">
        <f t="shared" si="19"/>
        <v>3615.9123583934088</v>
      </c>
      <c r="N64" s="62"/>
      <c r="O64" s="488"/>
      <c r="P64" s="465"/>
      <c r="Q64" s="57" t="s">
        <v>45</v>
      </c>
      <c r="R64" s="56" t="s">
        <v>44</v>
      </c>
      <c r="S64" s="58">
        <f>$G$64*T64+0.1</f>
        <v>0.10205973223480948</v>
      </c>
      <c r="T64" s="54">
        <f t="shared" si="20"/>
        <v>15.790010298661173</v>
      </c>
      <c r="U64" s="368"/>
      <c r="V64" s="512"/>
      <c r="W64" s="464"/>
      <c r="X64" s="73" t="s">
        <v>45</v>
      </c>
      <c r="Y64" s="56" t="s">
        <v>44</v>
      </c>
      <c r="Z64" s="58">
        <f>$G$64*AA64-0.1</f>
        <v>0.34799176107106067</v>
      </c>
      <c r="AA64" s="54">
        <f t="shared" si="21"/>
        <v>3434.327239958805</v>
      </c>
      <c r="AB64" s="62"/>
      <c r="AC64" s="472"/>
      <c r="AD64" s="465"/>
      <c r="AE64" s="57" t="s">
        <v>45</v>
      </c>
      <c r="AF64" s="56" t="s">
        <v>44</v>
      </c>
      <c r="AG64" s="55">
        <f>$G$64*AH64+0.1</f>
        <v>0.10205973223480948</v>
      </c>
      <c r="AH64" s="54">
        <f t="shared" si="22"/>
        <v>15.790010298661173</v>
      </c>
      <c r="AI64" s="62"/>
      <c r="AJ64" s="488"/>
      <c r="AK64" s="465"/>
      <c r="AL64" s="57" t="s">
        <v>45</v>
      </c>
      <c r="AM64" s="56" t="s">
        <v>44</v>
      </c>
      <c r="AN64" s="55">
        <f>$G$64*AO64</f>
        <v>7.6210092687950565E-2</v>
      </c>
      <c r="AO64" s="54">
        <f t="shared" si="23"/>
        <v>584.23038105046339</v>
      </c>
      <c r="AP64" s="62"/>
      <c r="AQ64" s="4">
        <f t="shared" si="17"/>
        <v>0</v>
      </c>
    </row>
    <row r="65" spans="1:43" ht="15" thickBot="1" x14ac:dyDescent="0.25">
      <c r="A65" s="488"/>
      <c r="B65" s="465"/>
      <c r="C65" s="57" t="s">
        <v>43</v>
      </c>
      <c r="D65" s="56" t="s">
        <v>42</v>
      </c>
      <c r="E65" s="61">
        <v>1</v>
      </c>
      <c r="F65" s="60">
        <v>90000</v>
      </c>
      <c r="G65" s="59">
        <f t="shared" si="18"/>
        <v>1.1111111111111112E-5</v>
      </c>
      <c r="H65" s="488"/>
      <c r="I65" s="465"/>
      <c r="J65" s="57" t="s">
        <v>43</v>
      </c>
      <c r="K65" s="56" t="s">
        <v>42</v>
      </c>
      <c r="L65" s="58">
        <f>$G$65*M65-0.1</f>
        <v>0.37167868177136976</v>
      </c>
      <c r="M65" s="54">
        <f t="shared" si="19"/>
        <v>42451.081359423275</v>
      </c>
      <c r="N65" s="53"/>
      <c r="O65" s="488"/>
      <c r="P65" s="465"/>
      <c r="Q65" s="57" t="s">
        <v>43</v>
      </c>
      <c r="R65" s="56" t="s">
        <v>42</v>
      </c>
      <c r="S65" s="58">
        <f>$G$65*T65+0.1</f>
        <v>0.10205973223480948</v>
      </c>
      <c r="T65" s="54">
        <f t="shared" si="20"/>
        <v>185.37590113285273</v>
      </c>
      <c r="U65" s="77"/>
      <c r="V65" s="512"/>
      <c r="W65" s="464"/>
      <c r="X65" s="73" t="s">
        <v>43</v>
      </c>
      <c r="Y65" s="56" t="s">
        <v>42</v>
      </c>
      <c r="Z65" s="58">
        <f>$G$65*AA65-0.1</f>
        <v>0.34799176107106078</v>
      </c>
      <c r="AA65" s="54">
        <f t="shared" si="21"/>
        <v>40319.258496395465</v>
      </c>
      <c r="AB65" s="53"/>
      <c r="AC65" s="472"/>
      <c r="AD65" s="465"/>
      <c r="AE65" s="57" t="s">
        <v>43</v>
      </c>
      <c r="AF65" s="56" t="s">
        <v>42</v>
      </c>
      <c r="AG65" s="55">
        <f>$G$65*AH65+0.1</f>
        <v>0.10205973223480948</v>
      </c>
      <c r="AH65" s="54">
        <f t="shared" si="22"/>
        <v>185.37590113285273</v>
      </c>
      <c r="AI65" s="53"/>
      <c r="AJ65" s="488"/>
      <c r="AK65" s="465"/>
      <c r="AL65" s="57" t="s">
        <v>43</v>
      </c>
      <c r="AM65" s="56" t="s">
        <v>42</v>
      </c>
      <c r="AN65" s="55">
        <f>$G$65*AO65</f>
        <v>7.6210092687950565E-2</v>
      </c>
      <c r="AO65" s="54">
        <f t="shared" si="23"/>
        <v>6858.9083419155504</v>
      </c>
      <c r="AP65" s="53"/>
      <c r="AQ65" s="4">
        <f t="shared" si="17"/>
        <v>0</v>
      </c>
    </row>
    <row r="66" spans="1:43" ht="26.25" thickBot="1" x14ac:dyDescent="0.25">
      <c r="A66" s="488"/>
      <c r="B66" s="465"/>
      <c r="C66" s="57" t="s">
        <v>41</v>
      </c>
      <c r="D66" s="56" t="s">
        <v>40</v>
      </c>
      <c r="E66" s="61">
        <v>1</v>
      </c>
      <c r="F66" s="60">
        <v>4500</v>
      </c>
      <c r="G66" s="59">
        <f t="shared" si="18"/>
        <v>2.2222222222222223E-4</v>
      </c>
      <c r="H66" s="488"/>
      <c r="I66" s="465"/>
      <c r="J66" s="57" t="s">
        <v>41</v>
      </c>
      <c r="K66" s="56" t="s">
        <v>40</v>
      </c>
      <c r="L66" s="58">
        <f>$G$66*M66-0.1</f>
        <v>0.37167868177136976</v>
      </c>
      <c r="M66" s="54">
        <f t="shared" si="19"/>
        <v>2122.5540679711639</v>
      </c>
      <c r="N66" s="53"/>
      <c r="O66" s="488"/>
      <c r="P66" s="465"/>
      <c r="Q66" s="57" t="s">
        <v>41</v>
      </c>
      <c r="R66" s="56" t="s">
        <v>40</v>
      </c>
      <c r="S66" s="58">
        <f>$G$66*T66+0.1</f>
        <v>0.10205973223480948</v>
      </c>
      <c r="T66" s="54">
        <f t="shared" si="20"/>
        <v>9.2687950566426363</v>
      </c>
      <c r="U66" s="77"/>
      <c r="V66" s="512"/>
      <c r="W66" s="464"/>
      <c r="X66" s="73" t="s">
        <v>41</v>
      </c>
      <c r="Y66" s="56" t="s">
        <v>40</v>
      </c>
      <c r="Z66" s="232">
        <f>$G$66*AA66-0.1</f>
        <v>0.34799176107106078</v>
      </c>
      <c r="AA66" s="54">
        <f t="shared" si="21"/>
        <v>2015.9629248197734</v>
      </c>
      <c r="AB66" s="53"/>
      <c r="AC66" s="472"/>
      <c r="AD66" s="465"/>
      <c r="AE66" s="57" t="s">
        <v>41</v>
      </c>
      <c r="AF66" s="56" t="s">
        <v>40</v>
      </c>
      <c r="AG66" s="55">
        <f>$G$66*AH66+0.1</f>
        <v>0.10205973223480948</v>
      </c>
      <c r="AH66" s="54">
        <f t="shared" si="22"/>
        <v>9.2687950566426363</v>
      </c>
      <c r="AI66" s="53"/>
      <c r="AJ66" s="488"/>
      <c r="AK66" s="465"/>
      <c r="AL66" s="57" t="s">
        <v>41</v>
      </c>
      <c r="AM66" s="56" t="s">
        <v>40</v>
      </c>
      <c r="AN66" s="55">
        <f>$G$66*AO66</f>
        <v>7.6210092687950565E-2</v>
      </c>
      <c r="AO66" s="54">
        <f t="shared" si="23"/>
        <v>342.94541709577754</v>
      </c>
      <c r="AP66" s="53"/>
      <c r="AQ66" s="4">
        <f t="shared" si="17"/>
        <v>0</v>
      </c>
    </row>
    <row r="67" spans="1:43" ht="15" hidden="1" customHeight="1" thickBot="1" x14ac:dyDescent="0.25">
      <c r="A67" s="488"/>
      <c r="B67" s="465"/>
      <c r="C67" s="8" t="s">
        <v>2</v>
      </c>
      <c r="D67" s="7"/>
      <c r="E67" s="52"/>
      <c r="F67" s="6">
        <f>SUM(F61:F66)</f>
        <v>202150.05</v>
      </c>
      <c r="G67" s="5">
        <f>SUM(G61:G66)</f>
        <v>1.8259700626078069E-3</v>
      </c>
      <c r="H67" s="488"/>
      <c r="I67" s="465"/>
      <c r="J67" s="8" t="s">
        <v>2</v>
      </c>
      <c r="K67" s="7"/>
      <c r="L67" s="52"/>
      <c r="M67" s="51">
        <f>$F$67/$G$2*H2</f>
        <v>95349.86910401647</v>
      </c>
      <c r="N67" s="5">
        <f>SUM(N61:N66)</f>
        <v>0</v>
      </c>
      <c r="O67" s="488"/>
      <c r="P67" s="465"/>
      <c r="Q67" s="8" t="s">
        <v>2</v>
      </c>
      <c r="R67" s="7"/>
      <c r="S67" s="52"/>
      <c r="T67" s="51">
        <f>$F$67/$G$2*I2</f>
        <v>416.37497425334703</v>
      </c>
      <c r="U67" s="369">
        <f>SUM(U61:U66)</f>
        <v>0</v>
      </c>
      <c r="V67" s="512"/>
      <c r="W67" s="464"/>
      <c r="X67" s="206" t="s">
        <v>2</v>
      </c>
      <c r="Y67" s="7"/>
      <c r="Z67" s="52"/>
      <c r="AA67" s="195">
        <f>$F$67/$G$2*J2</f>
        <v>90561.55690010298</v>
      </c>
      <c r="AB67" s="5">
        <f>SUM(AB61:AB66)</f>
        <v>0</v>
      </c>
      <c r="AC67" s="472"/>
      <c r="AD67" s="465"/>
      <c r="AE67" s="8" t="s">
        <v>2</v>
      </c>
      <c r="AF67" s="7"/>
      <c r="AG67" s="52"/>
      <c r="AH67" s="51">
        <f>$F$67/$G$2*K2</f>
        <v>416.37497425334703</v>
      </c>
      <c r="AI67" s="5">
        <f>SUM(AI61:AI66)</f>
        <v>0</v>
      </c>
      <c r="AJ67" s="488"/>
      <c r="AK67" s="465"/>
      <c r="AL67" s="8" t="s">
        <v>2</v>
      </c>
      <c r="AM67" s="7"/>
      <c r="AN67" s="52"/>
      <c r="AO67" s="51">
        <f>$F$67/$G$2*L2</f>
        <v>15405.87404737384</v>
      </c>
      <c r="AP67" s="5">
        <f>SUM(AP61:AP66)</f>
        <v>0</v>
      </c>
      <c r="AQ67" s="4">
        <f t="shared" si="17"/>
        <v>0</v>
      </c>
    </row>
    <row r="68" spans="1:43" ht="15" thickBot="1" x14ac:dyDescent="0.25">
      <c r="A68" s="488"/>
      <c r="B68" s="464"/>
      <c r="C68" s="466" t="s">
        <v>39</v>
      </c>
      <c r="D68" s="466"/>
      <c r="E68" s="466"/>
      <c r="F68" s="466"/>
      <c r="G68" s="467"/>
      <c r="H68" s="488"/>
      <c r="I68" s="464"/>
      <c r="J68" s="466" t="s">
        <v>39</v>
      </c>
      <c r="K68" s="468"/>
      <c r="L68" s="468"/>
      <c r="M68" s="468"/>
      <c r="N68" s="469"/>
      <c r="O68" s="488"/>
      <c r="P68" s="464"/>
      <c r="Q68" s="466" t="s">
        <v>39</v>
      </c>
      <c r="R68" s="468"/>
      <c r="S68" s="468"/>
      <c r="T68" s="468"/>
      <c r="U68" s="468"/>
      <c r="V68" s="512"/>
      <c r="W68" s="464"/>
      <c r="X68" s="468" t="s">
        <v>39</v>
      </c>
      <c r="Y68" s="468"/>
      <c r="Z68" s="468"/>
      <c r="AA68" s="468"/>
      <c r="AB68" s="469"/>
      <c r="AC68" s="472"/>
      <c r="AD68" s="464"/>
      <c r="AE68" s="466" t="s">
        <v>39</v>
      </c>
      <c r="AF68" s="466"/>
      <c r="AG68" s="468"/>
      <c r="AH68" s="468"/>
      <c r="AI68" s="469"/>
      <c r="AJ68" s="488"/>
      <c r="AK68" s="464"/>
      <c r="AL68" s="466" t="s">
        <v>39</v>
      </c>
      <c r="AM68" s="466"/>
      <c r="AN68" s="468"/>
      <c r="AO68" s="468"/>
      <c r="AP68" s="469"/>
      <c r="AQ68" s="4">
        <f t="shared" si="17"/>
        <v>0</v>
      </c>
    </row>
    <row r="69" spans="1:43" ht="90" thickBot="1" x14ac:dyDescent="0.25">
      <c r="A69" s="488"/>
      <c r="B69" s="464"/>
      <c r="C69" s="47" t="s">
        <v>38</v>
      </c>
      <c r="D69" s="50" t="s">
        <v>37</v>
      </c>
      <c r="E69" s="40">
        <v>49</v>
      </c>
      <c r="F69" s="39">
        <v>22262958.999999996</v>
      </c>
      <c r="G69" s="49">
        <f>E69/F69</f>
        <v>2.2009652894747734E-6</v>
      </c>
      <c r="H69" s="488"/>
      <c r="I69" s="464"/>
      <c r="J69" s="48" t="s">
        <v>38</v>
      </c>
      <c r="K69" s="31" t="s">
        <v>37</v>
      </c>
      <c r="L69" s="41">
        <f>$G$69*M69</f>
        <v>23.112255406797122</v>
      </c>
      <c r="M69" s="12">
        <v>10500963.153450051</v>
      </c>
      <c r="N69" s="31"/>
      <c r="O69" s="472"/>
      <c r="P69" s="464"/>
      <c r="Q69" s="48" t="s">
        <v>38</v>
      </c>
      <c r="R69" s="31" t="s">
        <v>37</v>
      </c>
      <c r="S69" s="41">
        <f>$G$69*T69</f>
        <v>0.10092687950566429</v>
      </c>
      <c r="T69" s="12">
        <v>45855.734294541711</v>
      </c>
      <c r="U69" s="42"/>
      <c r="V69" s="512"/>
      <c r="W69" s="464"/>
      <c r="X69" s="213" t="s">
        <v>38</v>
      </c>
      <c r="Y69" s="31" t="s">
        <v>37</v>
      </c>
      <c r="Z69" s="41">
        <f>$G$69*AA69</f>
        <v>21.951596292481984</v>
      </c>
      <c r="AA69" s="12">
        <v>9973622.2090628222</v>
      </c>
      <c r="AB69" s="71"/>
      <c r="AC69" s="472"/>
      <c r="AD69" s="464"/>
      <c r="AE69" s="47" t="s">
        <v>38</v>
      </c>
      <c r="AF69" s="46" t="s">
        <v>37</v>
      </c>
      <c r="AG69" s="41">
        <f>$G$69*AH69</f>
        <v>0.10092687950566429</v>
      </c>
      <c r="AH69" s="12">
        <v>45855.734294541711</v>
      </c>
      <c r="AI69" s="31"/>
      <c r="AJ69" s="472"/>
      <c r="AK69" s="464"/>
      <c r="AL69" s="47" t="s">
        <v>38</v>
      </c>
      <c r="AM69" s="46" t="s">
        <v>37</v>
      </c>
      <c r="AN69" s="41">
        <f>$G$69*AO69</f>
        <v>3.7342945417095783</v>
      </c>
      <c r="AO69" s="12">
        <v>1696662.1688980432</v>
      </c>
      <c r="AP69" s="31"/>
      <c r="AQ69" s="4">
        <f t="shared" si="17"/>
        <v>-1.1990408665951691E-14</v>
      </c>
    </row>
    <row r="70" spans="1:43" ht="14.25" hidden="1" customHeight="1" x14ac:dyDescent="0.2">
      <c r="A70" s="488"/>
      <c r="B70" s="465"/>
      <c r="C70" s="43"/>
      <c r="D70" s="31"/>
      <c r="E70" s="45"/>
      <c r="F70" s="32"/>
      <c r="G70" s="31"/>
      <c r="H70" s="488"/>
      <c r="I70" s="465"/>
      <c r="J70" s="44"/>
      <c r="K70" s="31"/>
      <c r="L70" s="41"/>
      <c r="M70" s="32"/>
      <c r="N70" s="31"/>
      <c r="O70" s="472"/>
      <c r="P70" s="465"/>
      <c r="Q70" s="44"/>
      <c r="R70" s="31"/>
      <c r="S70" s="41"/>
      <c r="T70" s="32"/>
      <c r="U70" s="42"/>
      <c r="V70" s="512"/>
      <c r="W70" s="464"/>
      <c r="X70" s="208"/>
      <c r="Y70" s="31"/>
      <c r="Z70" s="41"/>
      <c r="AA70" s="32"/>
      <c r="AB70" s="71"/>
      <c r="AC70" s="472"/>
      <c r="AD70" s="465"/>
      <c r="AE70" s="43"/>
      <c r="AF70" s="42"/>
      <c r="AG70" s="41"/>
      <c r="AH70" s="32"/>
      <c r="AI70" s="31"/>
      <c r="AJ70" s="472"/>
      <c r="AK70" s="465"/>
      <c r="AL70" s="43"/>
      <c r="AM70" s="42"/>
      <c r="AN70" s="41"/>
      <c r="AO70" s="32"/>
      <c r="AP70" s="31"/>
      <c r="AQ70" s="4">
        <f t="shared" si="17"/>
        <v>0</v>
      </c>
    </row>
    <row r="71" spans="1:43" ht="14.25" hidden="1" customHeight="1" x14ac:dyDescent="0.2">
      <c r="A71" s="488"/>
      <c r="B71" s="465"/>
      <c r="C71" s="43"/>
      <c r="D71" s="31"/>
      <c r="E71" s="45"/>
      <c r="F71" s="32"/>
      <c r="G71" s="31"/>
      <c r="H71" s="488"/>
      <c r="I71" s="465"/>
      <c r="J71" s="44"/>
      <c r="K71" s="31"/>
      <c r="L71" s="41"/>
      <c r="M71" s="32"/>
      <c r="N71" s="31"/>
      <c r="O71" s="472"/>
      <c r="P71" s="465"/>
      <c r="Q71" s="44"/>
      <c r="R71" s="31"/>
      <c r="S71" s="41"/>
      <c r="T71" s="32"/>
      <c r="U71" s="42"/>
      <c r="V71" s="512"/>
      <c r="W71" s="464"/>
      <c r="X71" s="208"/>
      <c r="Y71" s="31"/>
      <c r="Z71" s="41"/>
      <c r="AA71" s="32"/>
      <c r="AB71" s="71"/>
      <c r="AC71" s="472"/>
      <c r="AD71" s="465"/>
      <c r="AE71" s="43"/>
      <c r="AF71" s="42"/>
      <c r="AG71" s="41"/>
      <c r="AH71" s="32"/>
      <c r="AI71" s="31"/>
      <c r="AJ71" s="472"/>
      <c r="AK71" s="465"/>
      <c r="AL71" s="43"/>
      <c r="AM71" s="42"/>
      <c r="AN71" s="41"/>
      <c r="AO71" s="32"/>
      <c r="AP71" s="31"/>
      <c r="AQ71" s="4">
        <f t="shared" si="17"/>
        <v>0</v>
      </c>
    </row>
    <row r="72" spans="1:43" ht="14.25" hidden="1" customHeight="1" x14ac:dyDescent="0.2">
      <c r="A72" s="488"/>
      <c r="B72" s="465"/>
      <c r="C72" s="43"/>
      <c r="D72" s="31"/>
      <c r="E72" s="45"/>
      <c r="F72" s="32"/>
      <c r="G72" s="31"/>
      <c r="H72" s="488"/>
      <c r="I72" s="465"/>
      <c r="J72" s="44"/>
      <c r="K72" s="31"/>
      <c r="L72" s="41"/>
      <c r="M72" s="32"/>
      <c r="N72" s="31"/>
      <c r="O72" s="472"/>
      <c r="P72" s="465"/>
      <c r="Q72" s="44"/>
      <c r="R72" s="31"/>
      <c r="S72" s="41"/>
      <c r="T72" s="32"/>
      <c r="U72" s="42"/>
      <c r="V72" s="512"/>
      <c r="W72" s="464"/>
      <c r="X72" s="208"/>
      <c r="Y72" s="31"/>
      <c r="Z72" s="41"/>
      <c r="AA72" s="32"/>
      <c r="AB72" s="71"/>
      <c r="AC72" s="472"/>
      <c r="AD72" s="465"/>
      <c r="AE72" s="43"/>
      <c r="AF72" s="42"/>
      <c r="AG72" s="41"/>
      <c r="AH72" s="32"/>
      <c r="AI72" s="31"/>
      <c r="AJ72" s="472"/>
      <c r="AK72" s="465"/>
      <c r="AL72" s="43"/>
      <c r="AM72" s="42"/>
      <c r="AN72" s="41"/>
      <c r="AO72" s="32"/>
      <c r="AP72" s="31"/>
      <c r="AQ72" s="4">
        <f t="shared" si="17"/>
        <v>0</v>
      </c>
    </row>
    <row r="73" spans="1:43" ht="14.25" hidden="1" customHeight="1" x14ac:dyDescent="0.2">
      <c r="A73" s="488"/>
      <c r="B73" s="465"/>
      <c r="C73" s="43"/>
      <c r="D73" s="31"/>
      <c r="E73" s="45"/>
      <c r="F73" s="32"/>
      <c r="G73" s="31"/>
      <c r="H73" s="488"/>
      <c r="I73" s="465"/>
      <c r="J73" s="44"/>
      <c r="K73" s="31"/>
      <c r="L73" s="41"/>
      <c r="M73" s="32"/>
      <c r="N73" s="31"/>
      <c r="O73" s="472"/>
      <c r="P73" s="465"/>
      <c r="Q73" s="44"/>
      <c r="R73" s="31"/>
      <c r="S73" s="41"/>
      <c r="T73" s="32"/>
      <c r="U73" s="42"/>
      <c r="V73" s="512"/>
      <c r="W73" s="464"/>
      <c r="X73" s="208"/>
      <c r="Y73" s="31"/>
      <c r="Z73" s="41"/>
      <c r="AA73" s="32"/>
      <c r="AB73" s="71"/>
      <c r="AC73" s="472"/>
      <c r="AD73" s="465"/>
      <c r="AE73" s="43"/>
      <c r="AF73" s="42"/>
      <c r="AG73" s="41"/>
      <c r="AH73" s="32"/>
      <c r="AI73" s="31"/>
      <c r="AJ73" s="472"/>
      <c r="AK73" s="465"/>
      <c r="AL73" s="43"/>
      <c r="AM73" s="42"/>
      <c r="AN73" s="41"/>
      <c r="AO73" s="32"/>
      <c r="AP73" s="31"/>
      <c r="AQ73" s="4">
        <f t="shared" si="17"/>
        <v>0</v>
      </c>
    </row>
    <row r="74" spans="1:43" ht="14.25" hidden="1" customHeight="1" x14ac:dyDescent="0.2">
      <c r="A74" s="488"/>
      <c r="B74" s="465"/>
      <c r="C74" s="43"/>
      <c r="D74" s="31"/>
      <c r="E74" s="45"/>
      <c r="F74" s="32"/>
      <c r="G74" s="31"/>
      <c r="H74" s="488"/>
      <c r="I74" s="465"/>
      <c r="J74" s="44"/>
      <c r="K74" s="31"/>
      <c r="L74" s="41"/>
      <c r="M74" s="32"/>
      <c r="N74" s="31"/>
      <c r="O74" s="472"/>
      <c r="P74" s="465"/>
      <c r="Q74" s="44"/>
      <c r="R74" s="31"/>
      <c r="S74" s="41"/>
      <c r="T74" s="32"/>
      <c r="U74" s="42"/>
      <c r="V74" s="512"/>
      <c r="W74" s="464"/>
      <c r="X74" s="208"/>
      <c r="Y74" s="31"/>
      <c r="Z74" s="41"/>
      <c r="AA74" s="32"/>
      <c r="AB74" s="71"/>
      <c r="AC74" s="472"/>
      <c r="AD74" s="465"/>
      <c r="AE74" s="43"/>
      <c r="AF74" s="42"/>
      <c r="AG74" s="41"/>
      <c r="AH74" s="32"/>
      <c r="AI74" s="31"/>
      <c r="AJ74" s="472"/>
      <c r="AK74" s="465"/>
      <c r="AL74" s="43"/>
      <c r="AM74" s="42"/>
      <c r="AN74" s="41"/>
      <c r="AO74" s="32"/>
      <c r="AP74" s="31"/>
      <c r="AQ74" s="4">
        <f t="shared" si="17"/>
        <v>0</v>
      </c>
    </row>
    <row r="75" spans="1:43" ht="14.25" hidden="1" customHeight="1" x14ac:dyDescent="0.2">
      <c r="A75" s="488"/>
      <c r="B75" s="465"/>
      <c r="C75" s="43"/>
      <c r="D75" s="31"/>
      <c r="E75" s="45"/>
      <c r="F75" s="32"/>
      <c r="G75" s="31"/>
      <c r="H75" s="488"/>
      <c r="I75" s="465"/>
      <c r="J75" s="44"/>
      <c r="K75" s="31"/>
      <c r="L75" s="41"/>
      <c r="M75" s="32"/>
      <c r="N75" s="31"/>
      <c r="O75" s="472"/>
      <c r="P75" s="465"/>
      <c r="Q75" s="44"/>
      <c r="R75" s="31"/>
      <c r="S75" s="41"/>
      <c r="T75" s="32"/>
      <c r="U75" s="42"/>
      <c r="V75" s="512"/>
      <c r="W75" s="464"/>
      <c r="X75" s="208"/>
      <c r="Y75" s="31"/>
      <c r="Z75" s="41"/>
      <c r="AA75" s="32"/>
      <c r="AB75" s="71"/>
      <c r="AC75" s="472"/>
      <c r="AD75" s="465"/>
      <c r="AE75" s="43"/>
      <c r="AF75" s="42"/>
      <c r="AG75" s="41"/>
      <c r="AH75" s="32"/>
      <c r="AI75" s="31"/>
      <c r="AJ75" s="472"/>
      <c r="AK75" s="465"/>
      <c r="AL75" s="43"/>
      <c r="AM75" s="42"/>
      <c r="AN75" s="41"/>
      <c r="AO75" s="32"/>
      <c r="AP75" s="31"/>
      <c r="AQ75" s="4">
        <f t="shared" si="17"/>
        <v>0</v>
      </c>
    </row>
    <row r="76" spans="1:43" ht="14.25" hidden="1" customHeight="1" x14ac:dyDescent="0.2">
      <c r="A76" s="488"/>
      <c r="B76" s="465"/>
      <c r="C76" s="43"/>
      <c r="D76" s="31"/>
      <c r="E76" s="45"/>
      <c r="F76" s="32"/>
      <c r="G76" s="31"/>
      <c r="H76" s="488"/>
      <c r="I76" s="465"/>
      <c r="J76" s="44"/>
      <c r="K76" s="31"/>
      <c r="L76" s="41"/>
      <c r="M76" s="32"/>
      <c r="N76" s="31"/>
      <c r="O76" s="472"/>
      <c r="P76" s="465"/>
      <c r="Q76" s="44"/>
      <c r="R76" s="31"/>
      <c r="S76" s="41"/>
      <c r="T76" s="32"/>
      <c r="U76" s="42"/>
      <c r="V76" s="512"/>
      <c r="W76" s="464"/>
      <c r="X76" s="208"/>
      <c r="Y76" s="31"/>
      <c r="Z76" s="41"/>
      <c r="AA76" s="32"/>
      <c r="AB76" s="71"/>
      <c r="AC76" s="472"/>
      <c r="AD76" s="465"/>
      <c r="AE76" s="43"/>
      <c r="AF76" s="42"/>
      <c r="AG76" s="41"/>
      <c r="AH76" s="32"/>
      <c r="AI76" s="31"/>
      <c r="AJ76" s="472"/>
      <c r="AK76" s="465"/>
      <c r="AL76" s="43"/>
      <c r="AM76" s="42"/>
      <c r="AN76" s="41"/>
      <c r="AO76" s="32"/>
      <c r="AP76" s="31"/>
      <c r="AQ76" s="4">
        <f t="shared" ref="AQ76:AQ107" si="24">E76-L76-S76-Z76-AG76-AN76</f>
        <v>0</v>
      </c>
    </row>
    <row r="77" spans="1:43" ht="14.25" hidden="1" customHeight="1" x14ac:dyDescent="0.2">
      <c r="A77" s="488"/>
      <c r="B77" s="465"/>
      <c r="C77" s="43"/>
      <c r="D77" s="31"/>
      <c r="E77" s="45"/>
      <c r="F77" s="32"/>
      <c r="G77" s="31"/>
      <c r="H77" s="488"/>
      <c r="I77" s="465"/>
      <c r="J77" s="44"/>
      <c r="K77" s="31"/>
      <c r="L77" s="41"/>
      <c r="M77" s="32"/>
      <c r="N77" s="31"/>
      <c r="O77" s="472"/>
      <c r="P77" s="465"/>
      <c r="Q77" s="44"/>
      <c r="R77" s="31"/>
      <c r="S77" s="41"/>
      <c r="T77" s="32"/>
      <c r="U77" s="42"/>
      <c r="V77" s="512"/>
      <c r="W77" s="464"/>
      <c r="X77" s="208"/>
      <c r="Y77" s="31"/>
      <c r="Z77" s="41"/>
      <c r="AA77" s="32"/>
      <c r="AB77" s="71"/>
      <c r="AC77" s="472"/>
      <c r="AD77" s="465"/>
      <c r="AE77" s="43"/>
      <c r="AF77" s="42"/>
      <c r="AG77" s="41"/>
      <c r="AH77" s="32"/>
      <c r="AI77" s="31"/>
      <c r="AJ77" s="472"/>
      <c r="AK77" s="465"/>
      <c r="AL77" s="43"/>
      <c r="AM77" s="42"/>
      <c r="AN77" s="41"/>
      <c r="AO77" s="32"/>
      <c r="AP77" s="31"/>
      <c r="AQ77" s="4">
        <f t="shared" si="24"/>
        <v>0</v>
      </c>
    </row>
    <row r="78" spans="1:43" ht="14.25" hidden="1" customHeight="1" x14ac:dyDescent="0.2">
      <c r="A78" s="488"/>
      <c r="B78" s="465"/>
      <c r="C78" s="43"/>
      <c r="D78" s="31"/>
      <c r="E78" s="45"/>
      <c r="F78" s="32"/>
      <c r="G78" s="31"/>
      <c r="H78" s="488"/>
      <c r="I78" s="465"/>
      <c r="J78" s="44"/>
      <c r="K78" s="31"/>
      <c r="L78" s="41"/>
      <c r="M78" s="32"/>
      <c r="N78" s="31"/>
      <c r="O78" s="472"/>
      <c r="P78" s="465"/>
      <c r="Q78" s="44"/>
      <c r="R78" s="31"/>
      <c r="S78" s="41"/>
      <c r="T78" s="32"/>
      <c r="U78" s="42"/>
      <c r="V78" s="512"/>
      <c r="W78" s="464"/>
      <c r="X78" s="208"/>
      <c r="Y78" s="31"/>
      <c r="Z78" s="41"/>
      <c r="AA78" s="32"/>
      <c r="AB78" s="71"/>
      <c r="AC78" s="472"/>
      <c r="AD78" s="465"/>
      <c r="AE78" s="43"/>
      <c r="AF78" s="42"/>
      <c r="AG78" s="41"/>
      <c r="AH78" s="32"/>
      <c r="AI78" s="31"/>
      <c r="AJ78" s="472"/>
      <c r="AK78" s="465"/>
      <c r="AL78" s="43"/>
      <c r="AM78" s="42"/>
      <c r="AN78" s="41"/>
      <c r="AO78" s="32"/>
      <c r="AP78" s="31"/>
      <c r="AQ78" s="4">
        <f t="shared" si="24"/>
        <v>0</v>
      </c>
    </row>
    <row r="79" spans="1:43" ht="14.25" hidden="1" customHeight="1" x14ac:dyDescent="0.2">
      <c r="A79" s="488"/>
      <c r="B79" s="465"/>
      <c r="C79" s="43"/>
      <c r="D79" s="31"/>
      <c r="E79" s="45"/>
      <c r="F79" s="32"/>
      <c r="G79" s="31"/>
      <c r="H79" s="488"/>
      <c r="I79" s="465"/>
      <c r="J79" s="44"/>
      <c r="K79" s="31"/>
      <c r="L79" s="41"/>
      <c r="M79" s="32"/>
      <c r="N79" s="31"/>
      <c r="O79" s="472"/>
      <c r="P79" s="465"/>
      <c r="Q79" s="44"/>
      <c r="R79" s="31"/>
      <c r="S79" s="41"/>
      <c r="T79" s="32"/>
      <c r="U79" s="42"/>
      <c r="V79" s="512"/>
      <c r="W79" s="464"/>
      <c r="X79" s="208"/>
      <c r="Y79" s="31"/>
      <c r="Z79" s="41"/>
      <c r="AA79" s="32"/>
      <c r="AB79" s="71"/>
      <c r="AC79" s="472"/>
      <c r="AD79" s="465"/>
      <c r="AE79" s="43"/>
      <c r="AF79" s="42"/>
      <c r="AG79" s="41"/>
      <c r="AH79" s="32"/>
      <c r="AI79" s="31"/>
      <c r="AJ79" s="472"/>
      <c r="AK79" s="465"/>
      <c r="AL79" s="43"/>
      <c r="AM79" s="42"/>
      <c r="AN79" s="41"/>
      <c r="AO79" s="32"/>
      <c r="AP79" s="31"/>
      <c r="AQ79" s="4">
        <f t="shared" si="24"/>
        <v>0</v>
      </c>
    </row>
    <row r="80" spans="1:43" ht="14.25" hidden="1" customHeight="1" x14ac:dyDescent="0.2">
      <c r="A80" s="488"/>
      <c r="B80" s="465"/>
      <c r="C80" s="43"/>
      <c r="D80" s="31"/>
      <c r="E80" s="45"/>
      <c r="F80" s="32"/>
      <c r="G80" s="31"/>
      <c r="H80" s="488"/>
      <c r="I80" s="465"/>
      <c r="J80" s="44"/>
      <c r="K80" s="31"/>
      <c r="L80" s="41"/>
      <c r="M80" s="32"/>
      <c r="N80" s="31"/>
      <c r="O80" s="472"/>
      <c r="P80" s="465"/>
      <c r="Q80" s="44"/>
      <c r="R80" s="31"/>
      <c r="S80" s="41"/>
      <c r="T80" s="32"/>
      <c r="U80" s="42"/>
      <c r="V80" s="512"/>
      <c r="W80" s="464"/>
      <c r="X80" s="208"/>
      <c r="Y80" s="31"/>
      <c r="Z80" s="41"/>
      <c r="AA80" s="32"/>
      <c r="AB80" s="71"/>
      <c r="AC80" s="472"/>
      <c r="AD80" s="465"/>
      <c r="AE80" s="43"/>
      <c r="AF80" s="42"/>
      <c r="AG80" s="41"/>
      <c r="AH80" s="32"/>
      <c r="AI80" s="31"/>
      <c r="AJ80" s="472"/>
      <c r="AK80" s="465"/>
      <c r="AL80" s="43"/>
      <c r="AM80" s="42"/>
      <c r="AN80" s="41"/>
      <c r="AO80" s="32"/>
      <c r="AP80" s="31"/>
      <c r="AQ80" s="4">
        <f t="shared" si="24"/>
        <v>0</v>
      </c>
    </row>
    <row r="81" spans="1:43" ht="14.25" hidden="1" customHeight="1" x14ac:dyDescent="0.2">
      <c r="A81" s="488"/>
      <c r="B81" s="465"/>
      <c r="C81" s="43"/>
      <c r="D81" s="31"/>
      <c r="E81" s="45"/>
      <c r="F81" s="32"/>
      <c r="G81" s="31"/>
      <c r="H81" s="488"/>
      <c r="I81" s="465"/>
      <c r="J81" s="44"/>
      <c r="K81" s="31"/>
      <c r="L81" s="41"/>
      <c r="M81" s="32"/>
      <c r="N81" s="31"/>
      <c r="O81" s="472"/>
      <c r="P81" s="465"/>
      <c r="Q81" s="44"/>
      <c r="R81" s="31"/>
      <c r="S81" s="41"/>
      <c r="T81" s="32"/>
      <c r="U81" s="42"/>
      <c r="V81" s="512"/>
      <c r="W81" s="464"/>
      <c r="X81" s="208"/>
      <c r="Y81" s="31"/>
      <c r="Z81" s="41"/>
      <c r="AA81" s="32"/>
      <c r="AB81" s="71"/>
      <c r="AC81" s="472"/>
      <c r="AD81" s="465"/>
      <c r="AE81" s="43"/>
      <c r="AF81" s="42"/>
      <c r="AG81" s="41"/>
      <c r="AH81" s="32"/>
      <c r="AI81" s="31"/>
      <c r="AJ81" s="472"/>
      <c r="AK81" s="465"/>
      <c r="AL81" s="43"/>
      <c r="AM81" s="42"/>
      <c r="AN81" s="41"/>
      <c r="AO81" s="32"/>
      <c r="AP81" s="31"/>
      <c r="AQ81" s="4">
        <f t="shared" si="24"/>
        <v>0</v>
      </c>
    </row>
    <row r="82" spans="1:43" ht="14.25" hidden="1" customHeight="1" x14ac:dyDescent="0.2">
      <c r="A82" s="488"/>
      <c r="B82" s="465"/>
      <c r="C82" s="43"/>
      <c r="D82" s="31"/>
      <c r="E82" s="45"/>
      <c r="F82" s="32"/>
      <c r="G82" s="31"/>
      <c r="H82" s="488"/>
      <c r="I82" s="465"/>
      <c r="J82" s="44"/>
      <c r="K82" s="31"/>
      <c r="L82" s="41"/>
      <c r="M82" s="32"/>
      <c r="N82" s="31"/>
      <c r="O82" s="472"/>
      <c r="P82" s="465"/>
      <c r="Q82" s="44"/>
      <c r="R82" s="31"/>
      <c r="S82" s="41"/>
      <c r="T82" s="32"/>
      <c r="U82" s="42"/>
      <c r="V82" s="512"/>
      <c r="W82" s="464"/>
      <c r="X82" s="208"/>
      <c r="Y82" s="31"/>
      <c r="Z82" s="41"/>
      <c r="AA82" s="32"/>
      <c r="AB82" s="71"/>
      <c r="AC82" s="472"/>
      <c r="AD82" s="465"/>
      <c r="AE82" s="43"/>
      <c r="AF82" s="42"/>
      <c r="AG82" s="41"/>
      <c r="AH82" s="32"/>
      <c r="AI82" s="31"/>
      <c r="AJ82" s="472"/>
      <c r="AK82" s="465"/>
      <c r="AL82" s="43"/>
      <c r="AM82" s="42"/>
      <c r="AN82" s="41"/>
      <c r="AO82" s="32"/>
      <c r="AP82" s="31"/>
      <c r="AQ82" s="4">
        <f t="shared" si="24"/>
        <v>0</v>
      </c>
    </row>
    <row r="83" spans="1:43" ht="14.25" hidden="1" customHeight="1" x14ac:dyDescent="0.2">
      <c r="A83" s="488"/>
      <c r="B83" s="465"/>
      <c r="C83" s="43"/>
      <c r="D83" s="31"/>
      <c r="E83" s="45"/>
      <c r="F83" s="32"/>
      <c r="G83" s="31"/>
      <c r="H83" s="488"/>
      <c r="I83" s="465"/>
      <c r="J83" s="44"/>
      <c r="K83" s="31"/>
      <c r="L83" s="41"/>
      <c r="M83" s="32"/>
      <c r="N83" s="31"/>
      <c r="O83" s="472"/>
      <c r="P83" s="465"/>
      <c r="Q83" s="44"/>
      <c r="R83" s="31"/>
      <c r="S83" s="41"/>
      <c r="T83" s="32"/>
      <c r="U83" s="42"/>
      <c r="V83" s="512"/>
      <c r="W83" s="464"/>
      <c r="X83" s="208"/>
      <c r="Y83" s="31"/>
      <c r="Z83" s="41"/>
      <c r="AA83" s="32"/>
      <c r="AB83" s="71"/>
      <c r="AC83" s="472"/>
      <c r="AD83" s="465"/>
      <c r="AE83" s="43"/>
      <c r="AF83" s="42"/>
      <c r="AG83" s="41"/>
      <c r="AH83" s="32"/>
      <c r="AI83" s="31"/>
      <c r="AJ83" s="472"/>
      <c r="AK83" s="465"/>
      <c r="AL83" s="43"/>
      <c r="AM83" s="42"/>
      <c r="AN83" s="41"/>
      <c r="AO83" s="32"/>
      <c r="AP83" s="31"/>
      <c r="AQ83" s="4">
        <f t="shared" si="24"/>
        <v>0</v>
      </c>
    </row>
    <row r="84" spans="1:43" ht="14.25" hidden="1" customHeight="1" x14ac:dyDescent="0.2">
      <c r="A84" s="488"/>
      <c r="B84" s="465"/>
      <c r="C84" s="43"/>
      <c r="D84" s="31"/>
      <c r="E84" s="45"/>
      <c r="F84" s="32"/>
      <c r="G84" s="31"/>
      <c r="H84" s="488"/>
      <c r="I84" s="465"/>
      <c r="J84" s="44"/>
      <c r="K84" s="31"/>
      <c r="L84" s="41"/>
      <c r="M84" s="32"/>
      <c r="N84" s="31"/>
      <c r="O84" s="472"/>
      <c r="P84" s="465"/>
      <c r="Q84" s="44"/>
      <c r="R84" s="31"/>
      <c r="S84" s="41"/>
      <c r="T84" s="32"/>
      <c r="U84" s="42"/>
      <c r="V84" s="512"/>
      <c r="W84" s="464"/>
      <c r="X84" s="208"/>
      <c r="Y84" s="31"/>
      <c r="Z84" s="41"/>
      <c r="AA84" s="32"/>
      <c r="AB84" s="71"/>
      <c r="AC84" s="472"/>
      <c r="AD84" s="465"/>
      <c r="AE84" s="43"/>
      <c r="AF84" s="42"/>
      <c r="AG84" s="41"/>
      <c r="AH84" s="32"/>
      <c r="AI84" s="31"/>
      <c r="AJ84" s="472"/>
      <c r="AK84" s="465"/>
      <c r="AL84" s="43"/>
      <c r="AM84" s="42"/>
      <c r="AN84" s="41"/>
      <c r="AO84" s="32"/>
      <c r="AP84" s="31"/>
      <c r="AQ84" s="4">
        <f t="shared" si="24"/>
        <v>0</v>
      </c>
    </row>
    <row r="85" spans="1:43" ht="14.25" hidden="1" customHeight="1" x14ac:dyDescent="0.2">
      <c r="A85" s="488"/>
      <c r="B85" s="465"/>
      <c r="C85" s="43"/>
      <c r="D85" s="31"/>
      <c r="E85" s="45"/>
      <c r="F85" s="32"/>
      <c r="G85" s="31"/>
      <c r="H85" s="488"/>
      <c r="I85" s="465"/>
      <c r="J85" s="44"/>
      <c r="K85" s="31"/>
      <c r="L85" s="41"/>
      <c r="M85" s="32"/>
      <c r="N85" s="31"/>
      <c r="O85" s="472"/>
      <c r="P85" s="465"/>
      <c r="Q85" s="44"/>
      <c r="R85" s="31"/>
      <c r="S85" s="41"/>
      <c r="T85" s="32"/>
      <c r="U85" s="42"/>
      <c r="V85" s="512"/>
      <c r="W85" s="464"/>
      <c r="X85" s="208"/>
      <c r="Y85" s="31"/>
      <c r="Z85" s="41"/>
      <c r="AA85" s="32"/>
      <c r="AB85" s="71"/>
      <c r="AC85" s="472"/>
      <c r="AD85" s="465"/>
      <c r="AE85" s="43"/>
      <c r="AF85" s="42"/>
      <c r="AG85" s="41"/>
      <c r="AH85" s="32"/>
      <c r="AI85" s="31"/>
      <c r="AJ85" s="472"/>
      <c r="AK85" s="465"/>
      <c r="AL85" s="43"/>
      <c r="AM85" s="42"/>
      <c r="AN85" s="41"/>
      <c r="AO85" s="32"/>
      <c r="AP85" s="31"/>
      <c r="AQ85" s="4">
        <f t="shared" si="24"/>
        <v>0</v>
      </c>
    </row>
    <row r="86" spans="1:43" ht="14.25" hidden="1" customHeight="1" x14ac:dyDescent="0.2">
      <c r="A86" s="488"/>
      <c r="B86" s="465"/>
      <c r="C86" s="43"/>
      <c r="D86" s="31"/>
      <c r="E86" s="45"/>
      <c r="F86" s="32"/>
      <c r="G86" s="31"/>
      <c r="H86" s="488"/>
      <c r="I86" s="465"/>
      <c r="J86" s="44"/>
      <c r="K86" s="31"/>
      <c r="L86" s="41"/>
      <c r="M86" s="32"/>
      <c r="N86" s="31"/>
      <c r="O86" s="472"/>
      <c r="P86" s="465"/>
      <c r="Q86" s="44"/>
      <c r="R86" s="31"/>
      <c r="S86" s="41"/>
      <c r="T86" s="32"/>
      <c r="U86" s="42"/>
      <c r="V86" s="512"/>
      <c r="W86" s="464"/>
      <c r="X86" s="208"/>
      <c r="Y86" s="31"/>
      <c r="Z86" s="41"/>
      <c r="AA86" s="32"/>
      <c r="AB86" s="71"/>
      <c r="AC86" s="472"/>
      <c r="AD86" s="465"/>
      <c r="AE86" s="43"/>
      <c r="AF86" s="42"/>
      <c r="AG86" s="41"/>
      <c r="AH86" s="32"/>
      <c r="AI86" s="31"/>
      <c r="AJ86" s="472"/>
      <c r="AK86" s="465"/>
      <c r="AL86" s="43"/>
      <c r="AM86" s="42"/>
      <c r="AN86" s="41"/>
      <c r="AO86" s="32"/>
      <c r="AP86" s="31"/>
      <c r="AQ86" s="4">
        <f t="shared" si="24"/>
        <v>0</v>
      </c>
    </row>
    <row r="87" spans="1:43" ht="14.25" hidden="1" customHeight="1" x14ac:dyDescent="0.2">
      <c r="A87" s="488"/>
      <c r="B87" s="465"/>
      <c r="C87" s="43"/>
      <c r="D87" s="31"/>
      <c r="E87" s="45"/>
      <c r="F87" s="32"/>
      <c r="G87" s="31"/>
      <c r="H87" s="488"/>
      <c r="I87" s="465"/>
      <c r="J87" s="44"/>
      <c r="K87" s="31"/>
      <c r="L87" s="41"/>
      <c r="M87" s="32"/>
      <c r="N87" s="31"/>
      <c r="O87" s="472"/>
      <c r="P87" s="465"/>
      <c r="Q87" s="44"/>
      <c r="R87" s="31"/>
      <c r="S87" s="41"/>
      <c r="T87" s="32"/>
      <c r="U87" s="42"/>
      <c r="V87" s="512"/>
      <c r="W87" s="464"/>
      <c r="X87" s="208"/>
      <c r="Y87" s="31"/>
      <c r="Z87" s="41"/>
      <c r="AA87" s="32"/>
      <c r="AB87" s="71"/>
      <c r="AC87" s="472"/>
      <c r="AD87" s="465"/>
      <c r="AE87" s="43"/>
      <c r="AF87" s="42"/>
      <c r="AG87" s="41"/>
      <c r="AH87" s="32"/>
      <c r="AI87" s="31"/>
      <c r="AJ87" s="472"/>
      <c r="AK87" s="465"/>
      <c r="AL87" s="43"/>
      <c r="AM87" s="42"/>
      <c r="AN87" s="41"/>
      <c r="AO87" s="32"/>
      <c r="AP87" s="31"/>
      <c r="AQ87" s="4">
        <f t="shared" si="24"/>
        <v>0</v>
      </c>
    </row>
    <row r="88" spans="1:43" ht="14.25" hidden="1" customHeight="1" x14ac:dyDescent="0.2">
      <c r="A88" s="488"/>
      <c r="B88" s="465"/>
      <c r="C88" s="43"/>
      <c r="D88" s="31"/>
      <c r="E88" s="45"/>
      <c r="F88" s="32"/>
      <c r="G88" s="31"/>
      <c r="H88" s="488"/>
      <c r="I88" s="465"/>
      <c r="J88" s="44"/>
      <c r="K88" s="31"/>
      <c r="L88" s="41"/>
      <c r="M88" s="32"/>
      <c r="N88" s="31"/>
      <c r="O88" s="472"/>
      <c r="P88" s="465"/>
      <c r="Q88" s="44"/>
      <c r="R88" s="31"/>
      <c r="S88" s="41"/>
      <c r="T88" s="32"/>
      <c r="U88" s="42"/>
      <c r="V88" s="512"/>
      <c r="W88" s="464"/>
      <c r="X88" s="208"/>
      <c r="Y88" s="31"/>
      <c r="Z88" s="41"/>
      <c r="AA88" s="32"/>
      <c r="AB88" s="71"/>
      <c r="AC88" s="472"/>
      <c r="AD88" s="465"/>
      <c r="AE88" s="43"/>
      <c r="AF88" s="42"/>
      <c r="AG88" s="41"/>
      <c r="AH88" s="32"/>
      <c r="AI88" s="31"/>
      <c r="AJ88" s="472"/>
      <c r="AK88" s="465"/>
      <c r="AL88" s="43"/>
      <c r="AM88" s="42"/>
      <c r="AN88" s="41"/>
      <c r="AO88" s="32"/>
      <c r="AP88" s="31"/>
      <c r="AQ88" s="4">
        <f t="shared" si="24"/>
        <v>0</v>
      </c>
    </row>
    <row r="89" spans="1:43" ht="14.25" hidden="1" customHeight="1" x14ac:dyDescent="0.2">
      <c r="A89" s="488"/>
      <c r="B89" s="465"/>
      <c r="C89" s="43"/>
      <c r="D89" s="31"/>
      <c r="E89" s="45"/>
      <c r="F89" s="32"/>
      <c r="G89" s="31"/>
      <c r="H89" s="488"/>
      <c r="I89" s="465"/>
      <c r="J89" s="44"/>
      <c r="K89" s="31"/>
      <c r="L89" s="41"/>
      <c r="M89" s="32"/>
      <c r="N89" s="31"/>
      <c r="O89" s="472"/>
      <c r="P89" s="465"/>
      <c r="Q89" s="44"/>
      <c r="R89" s="31"/>
      <c r="S89" s="41"/>
      <c r="T89" s="32"/>
      <c r="U89" s="42"/>
      <c r="V89" s="512"/>
      <c r="W89" s="464"/>
      <c r="X89" s="208"/>
      <c r="Y89" s="31"/>
      <c r="Z89" s="41"/>
      <c r="AA89" s="32"/>
      <c r="AB89" s="71"/>
      <c r="AC89" s="472"/>
      <c r="AD89" s="465"/>
      <c r="AE89" s="43"/>
      <c r="AF89" s="42"/>
      <c r="AG89" s="41"/>
      <c r="AH89" s="32"/>
      <c r="AI89" s="31"/>
      <c r="AJ89" s="472"/>
      <c r="AK89" s="465"/>
      <c r="AL89" s="43"/>
      <c r="AM89" s="42"/>
      <c r="AN89" s="41"/>
      <c r="AO89" s="32"/>
      <c r="AP89" s="31"/>
      <c r="AQ89" s="4">
        <f t="shared" si="24"/>
        <v>0</v>
      </c>
    </row>
    <row r="90" spans="1:43" ht="14.25" hidden="1" customHeight="1" x14ac:dyDescent="0.2">
      <c r="A90" s="488"/>
      <c r="B90" s="465"/>
      <c r="C90" s="43"/>
      <c r="D90" s="31"/>
      <c r="E90" s="45"/>
      <c r="F90" s="32"/>
      <c r="G90" s="31"/>
      <c r="H90" s="488"/>
      <c r="I90" s="465"/>
      <c r="J90" s="44"/>
      <c r="K90" s="31"/>
      <c r="L90" s="41"/>
      <c r="M90" s="32"/>
      <c r="N90" s="31"/>
      <c r="O90" s="472"/>
      <c r="P90" s="465"/>
      <c r="Q90" s="44"/>
      <c r="R90" s="31"/>
      <c r="S90" s="41"/>
      <c r="T90" s="32"/>
      <c r="U90" s="42"/>
      <c r="V90" s="512"/>
      <c r="W90" s="464"/>
      <c r="X90" s="208"/>
      <c r="Y90" s="31"/>
      <c r="Z90" s="41"/>
      <c r="AA90" s="32"/>
      <c r="AB90" s="71"/>
      <c r="AC90" s="472"/>
      <c r="AD90" s="465"/>
      <c r="AE90" s="43"/>
      <c r="AF90" s="42"/>
      <c r="AG90" s="41"/>
      <c r="AH90" s="32"/>
      <c r="AI90" s="31"/>
      <c r="AJ90" s="472"/>
      <c r="AK90" s="465"/>
      <c r="AL90" s="43"/>
      <c r="AM90" s="42"/>
      <c r="AN90" s="41"/>
      <c r="AO90" s="32"/>
      <c r="AP90" s="31"/>
      <c r="AQ90" s="4">
        <f t="shared" si="24"/>
        <v>0</v>
      </c>
    </row>
    <row r="91" spans="1:43" ht="15" hidden="1" thickBot="1" x14ac:dyDescent="0.25">
      <c r="A91" s="488"/>
      <c r="B91" s="464"/>
      <c r="C91" s="38"/>
      <c r="D91" s="38"/>
      <c r="E91" s="40">
        <v>49</v>
      </c>
      <c r="F91" s="39">
        <v>22262958.999999996</v>
      </c>
      <c r="G91" s="38"/>
      <c r="H91" s="488"/>
      <c r="I91" s="464"/>
      <c r="J91" s="9"/>
      <c r="K91" s="31"/>
      <c r="L91" s="37">
        <f>SUM(L69:L90)</f>
        <v>23.112255406797122</v>
      </c>
      <c r="M91" s="32">
        <f>SUM(M69:M90)</f>
        <v>10500963.153450051</v>
      </c>
      <c r="N91" s="31"/>
      <c r="O91" s="472"/>
      <c r="P91" s="464"/>
      <c r="Q91" s="9"/>
      <c r="R91" s="31"/>
      <c r="S91" s="37">
        <f>SUM(S69:S90)</f>
        <v>0.10092687950566429</v>
      </c>
      <c r="T91" s="32">
        <f>SUM(T69:T90)</f>
        <v>45855.734294541711</v>
      </c>
      <c r="U91" s="42"/>
      <c r="V91" s="512"/>
      <c r="W91" s="464"/>
      <c r="X91" s="328"/>
      <c r="Y91" s="31"/>
      <c r="Z91" s="37">
        <f>SUM(Z69:Z90)</f>
        <v>21.951596292481984</v>
      </c>
      <c r="AA91" s="32">
        <f>SUM(AA69:AA90)</f>
        <v>9973622.2090628222</v>
      </c>
      <c r="AB91" s="71"/>
      <c r="AC91" s="472"/>
      <c r="AD91" s="464"/>
      <c r="AE91" s="38"/>
      <c r="AF91" s="9"/>
      <c r="AG91" s="37">
        <f>SUM(AG69:AG90)</f>
        <v>0.10092687950566429</v>
      </c>
      <c r="AH91" s="32">
        <f>SUM(AH69:AH90)</f>
        <v>45855.734294541711</v>
      </c>
      <c r="AI91" s="31"/>
      <c r="AJ91" s="472"/>
      <c r="AK91" s="464"/>
      <c r="AL91" s="38"/>
      <c r="AM91" s="9"/>
      <c r="AN91" s="37">
        <f>SUM(AN69:AN90)</f>
        <v>3.7342945417095783</v>
      </c>
      <c r="AO91" s="32">
        <f>SUM(AO69:AO90)</f>
        <v>1696662.1688980432</v>
      </c>
      <c r="AP91" s="31"/>
      <c r="AQ91" s="4">
        <f t="shared" si="24"/>
        <v>-1.1990408665951691E-14</v>
      </c>
    </row>
    <row r="92" spans="1:43" x14ac:dyDescent="0.2">
      <c r="A92" s="488"/>
      <c r="B92" s="464"/>
      <c r="C92" s="468" t="s">
        <v>36</v>
      </c>
      <c r="D92" s="468"/>
      <c r="E92" s="468"/>
      <c r="F92" s="468"/>
      <c r="G92" s="469"/>
      <c r="H92" s="488"/>
      <c r="I92" s="464"/>
      <c r="J92" s="468" t="s">
        <v>36</v>
      </c>
      <c r="K92" s="471"/>
      <c r="L92" s="471"/>
      <c r="M92" s="471"/>
      <c r="N92" s="472"/>
      <c r="O92" s="488"/>
      <c r="P92" s="464"/>
      <c r="Q92" s="468" t="s">
        <v>36</v>
      </c>
      <c r="R92" s="471"/>
      <c r="S92" s="471"/>
      <c r="T92" s="471"/>
      <c r="U92" s="471"/>
      <c r="V92" s="512"/>
      <c r="W92" s="464"/>
      <c r="X92" s="468" t="s">
        <v>36</v>
      </c>
      <c r="Y92" s="471"/>
      <c r="Z92" s="471"/>
      <c r="AA92" s="471"/>
      <c r="AB92" s="472"/>
      <c r="AC92" s="472"/>
      <c r="AD92" s="464"/>
      <c r="AE92" s="468" t="s">
        <v>36</v>
      </c>
      <c r="AF92" s="468"/>
      <c r="AG92" s="471"/>
      <c r="AH92" s="471"/>
      <c r="AI92" s="472"/>
      <c r="AJ92" s="488"/>
      <c r="AK92" s="464"/>
      <c r="AL92" s="468" t="s">
        <v>36</v>
      </c>
      <c r="AM92" s="468"/>
      <c r="AN92" s="471"/>
      <c r="AO92" s="471"/>
      <c r="AP92" s="472"/>
      <c r="AQ92" s="4">
        <f t="shared" si="24"/>
        <v>0</v>
      </c>
    </row>
    <row r="93" spans="1:43" ht="25.5" x14ac:dyDescent="0.2">
      <c r="A93" s="488"/>
      <c r="B93" s="465"/>
      <c r="C93" s="34" t="s">
        <v>35</v>
      </c>
      <c r="D93" s="31" t="s">
        <v>12</v>
      </c>
      <c r="E93" s="32">
        <v>1</v>
      </c>
      <c r="F93" s="32">
        <v>50000</v>
      </c>
      <c r="G93" s="31">
        <f t="shared" ref="G93:G120" si="25">E93/F93</f>
        <v>2.0000000000000002E-5</v>
      </c>
      <c r="H93" s="488"/>
      <c r="I93" s="465"/>
      <c r="J93" s="34" t="s">
        <v>35</v>
      </c>
      <c r="K93" s="31" t="s">
        <v>12</v>
      </c>
      <c r="L93" s="13">
        <f>$G$93*M93-0.1</f>
        <v>0.37167868480617539</v>
      </c>
      <c r="M93" s="12">
        <f t="shared" ref="M93:M115" si="26">$N$126/($F$121-558160)*F93</f>
        <v>23583.934240308768</v>
      </c>
      <c r="N93" s="31"/>
      <c r="O93" s="488"/>
      <c r="P93" s="465"/>
      <c r="Q93" s="34" t="s">
        <v>35</v>
      </c>
      <c r="R93" s="31" t="s">
        <v>12</v>
      </c>
      <c r="S93" s="13">
        <f>$G$93*T93+0.1</f>
        <v>0.10205973357432295</v>
      </c>
      <c r="T93" s="12">
        <f t="shared" ref="T93:T115" si="27">$U$126/($F$121-558160)*F93</f>
        <v>102.98667871614751</v>
      </c>
      <c r="U93" s="42"/>
      <c r="V93" s="512"/>
      <c r="W93" s="464"/>
      <c r="X93" s="209" t="s">
        <v>35</v>
      </c>
      <c r="Y93" s="31" t="s">
        <v>12</v>
      </c>
      <c r="Z93" s="13">
        <f>$G$93*AA93-0.1</f>
        <v>0.34799176468639736</v>
      </c>
      <c r="AA93" s="20">
        <f t="shared" ref="AA93:AA115" si="28">$AB$126/($F$121-558160)*F93</f>
        <v>22399.588234319865</v>
      </c>
      <c r="AB93" s="71"/>
      <c r="AC93" s="472"/>
      <c r="AD93" s="465"/>
      <c r="AE93" s="34" t="s">
        <v>35</v>
      </c>
      <c r="AF93" s="31" t="s">
        <v>12</v>
      </c>
      <c r="AG93" s="13">
        <f>$G$93*AH93+0.1</f>
        <v>0.10205973357432295</v>
      </c>
      <c r="AH93" s="12">
        <f t="shared" ref="AH93:AH115" si="29">$AI$126/($F$121-558160)*F93</f>
        <v>102.98667871614751</v>
      </c>
      <c r="AI93" s="31"/>
      <c r="AJ93" s="488"/>
      <c r="AK93" s="465"/>
      <c r="AL93" s="34" t="s">
        <v>35</v>
      </c>
      <c r="AM93" s="31" t="s">
        <v>12</v>
      </c>
      <c r="AN93" s="13">
        <f>$G$93*AO93</f>
        <v>7.6210092769164794E-2</v>
      </c>
      <c r="AO93" s="12">
        <f t="shared" ref="AO93:AO115" si="30">$AP$125/($F$121-558160)*F93</f>
        <v>3810.5046384582392</v>
      </c>
      <c r="AP93" s="31"/>
      <c r="AQ93" s="4">
        <f t="shared" si="24"/>
        <v>-9.4103834585856916E-9</v>
      </c>
    </row>
    <row r="94" spans="1:43" ht="25.5" x14ac:dyDescent="0.2">
      <c r="A94" s="488"/>
      <c r="B94" s="465"/>
      <c r="C94" s="34" t="s">
        <v>34</v>
      </c>
      <c r="D94" s="31" t="s">
        <v>12</v>
      </c>
      <c r="E94" s="32">
        <v>1</v>
      </c>
      <c r="F94" s="32">
        <v>9126.25</v>
      </c>
      <c r="G94" s="31">
        <f t="shared" si="25"/>
        <v>1.0957403095466375E-4</v>
      </c>
      <c r="H94" s="488"/>
      <c r="I94" s="465"/>
      <c r="J94" s="34" t="s">
        <v>34</v>
      </c>
      <c r="K94" s="31" t="s">
        <v>12</v>
      </c>
      <c r="L94" s="13">
        <f>$G$94*M94-0.1</f>
        <v>0.37167868480617539</v>
      </c>
      <c r="M94" s="12">
        <f t="shared" si="26"/>
        <v>4304.6575972123583</v>
      </c>
      <c r="N94" s="31"/>
      <c r="O94" s="488"/>
      <c r="P94" s="465"/>
      <c r="Q94" s="34" t="s">
        <v>34</v>
      </c>
      <c r="R94" s="31" t="s">
        <v>12</v>
      </c>
      <c r="S94" s="13">
        <f>$G$94*T94+0.1</f>
        <v>0.10205973357432295</v>
      </c>
      <c r="T94" s="12">
        <f t="shared" si="27"/>
        <v>18.797643532664825</v>
      </c>
      <c r="U94" s="42"/>
      <c r="V94" s="512"/>
      <c r="W94" s="464"/>
      <c r="X94" s="209" t="s">
        <v>34</v>
      </c>
      <c r="Y94" s="31" t="s">
        <v>12</v>
      </c>
      <c r="Z94" s="13">
        <f>$G$94*AA94-0.1</f>
        <v>0.34799176468639725</v>
      </c>
      <c r="AA94" s="20">
        <f t="shared" si="28"/>
        <v>4088.4848424692332</v>
      </c>
      <c r="AB94" s="71"/>
      <c r="AC94" s="472"/>
      <c r="AD94" s="465"/>
      <c r="AE94" s="34" t="s">
        <v>34</v>
      </c>
      <c r="AF94" s="31" t="s">
        <v>12</v>
      </c>
      <c r="AG94" s="13">
        <f>$G$94*AH94+0.1</f>
        <v>0.10205973357432295</v>
      </c>
      <c r="AH94" s="12">
        <f t="shared" si="29"/>
        <v>18.797643532664825</v>
      </c>
      <c r="AI94" s="31"/>
      <c r="AJ94" s="488"/>
      <c r="AK94" s="465"/>
      <c r="AL94" s="34" t="s">
        <v>34</v>
      </c>
      <c r="AM94" s="31" t="s">
        <v>12</v>
      </c>
      <c r="AN94" s="13">
        <f>$G$94*AO94</f>
        <v>7.6210092769164781E-2</v>
      </c>
      <c r="AO94" s="12">
        <f t="shared" si="30"/>
        <v>695.51235913459004</v>
      </c>
      <c r="AP94" s="31"/>
      <c r="AQ94" s="4">
        <f t="shared" si="24"/>
        <v>-9.4103833336856013E-9</v>
      </c>
    </row>
    <row r="95" spans="1:43" x14ac:dyDescent="0.2">
      <c r="A95" s="488"/>
      <c r="B95" s="465"/>
      <c r="C95" s="34" t="s">
        <v>33</v>
      </c>
      <c r="D95" s="31" t="s">
        <v>12</v>
      </c>
      <c r="E95" s="32">
        <v>1</v>
      </c>
      <c r="F95" s="32">
        <v>33053.599999999999</v>
      </c>
      <c r="G95" s="35">
        <f t="shared" si="25"/>
        <v>3.0253890650337634E-5</v>
      </c>
      <c r="H95" s="488"/>
      <c r="I95" s="465"/>
      <c r="J95" s="34" t="s">
        <v>33</v>
      </c>
      <c r="K95" s="31" t="s">
        <v>12</v>
      </c>
      <c r="L95" s="13">
        <f>$G$95*M95-0.1</f>
        <v>0.37167868480617539</v>
      </c>
      <c r="M95" s="12">
        <f t="shared" si="26"/>
        <v>15590.678576109398</v>
      </c>
      <c r="N95" s="31"/>
      <c r="O95" s="488"/>
      <c r="P95" s="465"/>
      <c r="Q95" s="34" t="s">
        <v>33</v>
      </c>
      <c r="R95" s="31" t="s">
        <v>12</v>
      </c>
      <c r="S95" s="13">
        <f>$G$95*T95+0.1</f>
        <v>0.10205973357432295</v>
      </c>
      <c r="T95" s="12">
        <f t="shared" si="27"/>
        <v>68.081609672241058</v>
      </c>
      <c r="U95" s="42"/>
      <c r="V95" s="512"/>
      <c r="W95" s="464"/>
      <c r="X95" s="209" t="s">
        <v>33</v>
      </c>
      <c r="Y95" s="31" t="s">
        <v>12</v>
      </c>
      <c r="Z95" s="13">
        <f>$G$95*AA95-0.1</f>
        <v>0.34799176468639725</v>
      </c>
      <c r="AA95" s="20">
        <f t="shared" si="28"/>
        <v>14807.740593238301</v>
      </c>
      <c r="AB95" s="71"/>
      <c r="AC95" s="472"/>
      <c r="AD95" s="465"/>
      <c r="AE95" s="34" t="s">
        <v>33</v>
      </c>
      <c r="AF95" s="31" t="s">
        <v>12</v>
      </c>
      <c r="AG95" s="13">
        <f>$G$95*AH95+0.1</f>
        <v>0.10205973357432295</v>
      </c>
      <c r="AH95" s="12">
        <f t="shared" si="29"/>
        <v>68.081609672241058</v>
      </c>
      <c r="AI95" s="31"/>
      <c r="AJ95" s="488"/>
      <c r="AK95" s="465"/>
      <c r="AL95" s="34" t="s">
        <v>33</v>
      </c>
      <c r="AM95" s="31" t="s">
        <v>12</v>
      </c>
      <c r="AN95" s="13">
        <f>$G$95*AO95</f>
        <v>7.6210092769164781E-2</v>
      </c>
      <c r="AO95" s="12">
        <f t="shared" si="30"/>
        <v>2519.0179223548648</v>
      </c>
      <c r="AP95" s="31"/>
      <c r="AQ95" s="4">
        <f t="shared" si="24"/>
        <v>-9.4103833336856013E-9</v>
      </c>
    </row>
    <row r="96" spans="1:43" x14ac:dyDescent="0.2">
      <c r="A96" s="488"/>
      <c r="B96" s="465"/>
      <c r="C96" s="34" t="s">
        <v>32</v>
      </c>
      <c r="D96" s="31" t="s">
        <v>12</v>
      </c>
      <c r="E96" s="32">
        <v>1</v>
      </c>
      <c r="F96" s="32">
        <v>5736.5</v>
      </c>
      <c r="G96" s="35">
        <f t="shared" si="25"/>
        <v>1.743223219733287E-4</v>
      </c>
      <c r="H96" s="488"/>
      <c r="I96" s="465"/>
      <c r="J96" s="34" t="s">
        <v>32</v>
      </c>
      <c r="K96" s="31" t="s">
        <v>12</v>
      </c>
      <c r="L96" s="13">
        <f>$G$96*M96-0.1</f>
        <v>0.37167868480617539</v>
      </c>
      <c r="M96" s="12">
        <f t="shared" si="26"/>
        <v>2705.7847753906249</v>
      </c>
      <c r="N96" s="31"/>
      <c r="O96" s="488"/>
      <c r="P96" s="465"/>
      <c r="Q96" s="34" t="s">
        <v>32</v>
      </c>
      <c r="R96" s="31" t="s">
        <v>12</v>
      </c>
      <c r="S96" s="13">
        <f>$G$96*T96+0.1</f>
        <v>0.10205973357432295</v>
      </c>
      <c r="T96" s="12">
        <f t="shared" si="27"/>
        <v>11.815661649103603</v>
      </c>
      <c r="U96" s="42"/>
      <c r="V96" s="512"/>
      <c r="W96" s="464"/>
      <c r="X96" s="209" t="s">
        <v>32</v>
      </c>
      <c r="Y96" s="31" t="s">
        <v>12</v>
      </c>
      <c r="Z96" s="13">
        <f>$G$96*AA96-0.1</f>
        <v>0.34799176468639736</v>
      </c>
      <c r="AA96" s="20">
        <f t="shared" si="28"/>
        <v>2569.9047581235181</v>
      </c>
      <c r="AB96" s="71"/>
      <c r="AC96" s="472"/>
      <c r="AD96" s="465"/>
      <c r="AE96" s="34" t="s">
        <v>32</v>
      </c>
      <c r="AF96" s="31" t="s">
        <v>12</v>
      </c>
      <c r="AG96" s="13">
        <f>$G$96*AH96+0.1</f>
        <v>0.10205973357432295</v>
      </c>
      <c r="AH96" s="12">
        <f t="shared" si="29"/>
        <v>11.815661649103603</v>
      </c>
      <c r="AI96" s="31"/>
      <c r="AJ96" s="488"/>
      <c r="AK96" s="465"/>
      <c r="AL96" s="34" t="s">
        <v>32</v>
      </c>
      <c r="AM96" s="31" t="s">
        <v>12</v>
      </c>
      <c r="AN96" s="13">
        <f>$G$96*AO96</f>
        <v>7.6210092769164794E-2</v>
      </c>
      <c r="AO96" s="12">
        <f t="shared" si="30"/>
        <v>437.17919717031378</v>
      </c>
      <c r="AP96" s="31"/>
      <c r="AQ96" s="4">
        <f t="shared" si="24"/>
        <v>-9.4103834585856916E-9</v>
      </c>
    </row>
    <row r="97" spans="1:43" ht="25.5" x14ac:dyDescent="0.2">
      <c r="A97" s="488"/>
      <c r="B97" s="465"/>
      <c r="C97" s="34" t="s">
        <v>31</v>
      </c>
      <c r="D97" s="31" t="s">
        <v>12</v>
      </c>
      <c r="E97" s="32">
        <v>1</v>
      </c>
      <c r="F97" s="32">
        <v>62315</v>
      </c>
      <c r="G97" s="35">
        <f t="shared" si="25"/>
        <v>1.6047500601781271E-5</v>
      </c>
      <c r="H97" s="488"/>
      <c r="I97" s="465"/>
      <c r="J97" s="34" t="s">
        <v>31</v>
      </c>
      <c r="K97" s="31" t="s">
        <v>12</v>
      </c>
      <c r="L97" s="13">
        <f>$G$97*M97-0.1</f>
        <v>0.37167868480617527</v>
      </c>
      <c r="M97" s="12">
        <f t="shared" si="26"/>
        <v>29392.657243696816</v>
      </c>
      <c r="N97" s="31"/>
      <c r="O97" s="488"/>
      <c r="P97" s="465"/>
      <c r="Q97" s="34" t="s">
        <v>31</v>
      </c>
      <c r="R97" s="31" t="s">
        <v>12</v>
      </c>
      <c r="S97" s="13">
        <f>$G$97*T97+0.1</f>
        <v>0.10205973357432295</v>
      </c>
      <c r="T97" s="12">
        <f t="shared" si="27"/>
        <v>128.35229768393464</v>
      </c>
      <c r="U97" s="42"/>
      <c r="V97" s="512"/>
      <c r="W97" s="464"/>
      <c r="X97" s="209" t="s">
        <v>31</v>
      </c>
      <c r="Y97" s="31" t="s">
        <v>12</v>
      </c>
      <c r="Z97" s="13">
        <f>$G$97*AA97-0.1</f>
        <v>0.34799176468639725</v>
      </c>
      <c r="AA97" s="20">
        <f t="shared" si="28"/>
        <v>27916.606816432846</v>
      </c>
      <c r="AB97" s="71"/>
      <c r="AC97" s="472"/>
      <c r="AD97" s="465"/>
      <c r="AE97" s="34" t="s">
        <v>31</v>
      </c>
      <c r="AF97" s="31" t="s">
        <v>12</v>
      </c>
      <c r="AG97" s="13">
        <f>$G$97*AH97+0.1</f>
        <v>0.10205973357432295</v>
      </c>
      <c r="AH97" s="12">
        <f t="shared" si="29"/>
        <v>128.35229768393464</v>
      </c>
      <c r="AI97" s="31"/>
      <c r="AJ97" s="488"/>
      <c r="AK97" s="465"/>
      <c r="AL97" s="34" t="s">
        <v>31</v>
      </c>
      <c r="AM97" s="31" t="s">
        <v>12</v>
      </c>
      <c r="AN97" s="13">
        <f>$G$97*AO97</f>
        <v>7.6210092769164781E-2</v>
      </c>
      <c r="AO97" s="12">
        <f t="shared" si="30"/>
        <v>4749.0319309105034</v>
      </c>
      <c r="AP97" s="31"/>
      <c r="AQ97" s="4">
        <f t="shared" si="24"/>
        <v>-9.4103832226632989E-9</v>
      </c>
    </row>
    <row r="98" spans="1:43" ht="25.5" x14ac:dyDescent="0.2">
      <c r="A98" s="488"/>
      <c r="B98" s="465"/>
      <c r="C98" s="34" t="s">
        <v>30</v>
      </c>
      <c r="D98" s="31" t="s">
        <v>12</v>
      </c>
      <c r="E98" s="32">
        <v>1</v>
      </c>
      <c r="F98" s="32">
        <v>68806.719999999987</v>
      </c>
      <c r="G98" s="35">
        <f t="shared" si="25"/>
        <v>1.45334641732668E-5</v>
      </c>
      <c r="H98" s="488"/>
      <c r="I98" s="465"/>
      <c r="J98" s="34" t="s">
        <v>30</v>
      </c>
      <c r="K98" s="31" t="s">
        <v>12</v>
      </c>
      <c r="L98" s="13">
        <f>$G$98*M98-0.1</f>
        <v>0.37167868480617539</v>
      </c>
      <c r="M98" s="12">
        <f t="shared" si="26"/>
        <v>32454.663195426758</v>
      </c>
      <c r="N98" s="31"/>
      <c r="O98" s="488"/>
      <c r="P98" s="465"/>
      <c r="Q98" s="34" t="s">
        <v>30</v>
      </c>
      <c r="R98" s="31" t="s">
        <v>12</v>
      </c>
      <c r="S98" s="13">
        <f>$G$98*T98+0.1</f>
        <v>0.10205973357432295</v>
      </c>
      <c r="T98" s="12">
        <f t="shared" si="27"/>
        <v>141.72351132303839</v>
      </c>
      <c r="U98" s="42"/>
      <c r="V98" s="512"/>
      <c r="W98" s="464"/>
      <c r="X98" s="209" t="s">
        <v>30</v>
      </c>
      <c r="Y98" s="31" t="s">
        <v>12</v>
      </c>
      <c r="Z98" s="13">
        <f>$G$98*AA98-0.1</f>
        <v>0.34799176468639725</v>
      </c>
      <c r="AA98" s="20">
        <f t="shared" si="28"/>
        <v>30824.84391508282</v>
      </c>
      <c r="AB98" s="71"/>
      <c r="AC98" s="472"/>
      <c r="AD98" s="465"/>
      <c r="AE98" s="34" t="s">
        <v>30</v>
      </c>
      <c r="AF98" s="31" t="s">
        <v>12</v>
      </c>
      <c r="AG98" s="13">
        <f>$G$98*AH98+0.1</f>
        <v>0.10205973357432295</v>
      </c>
      <c r="AH98" s="12">
        <f t="shared" si="29"/>
        <v>141.72351132303839</v>
      </c>
      <c r="AI98" s="31"/>
      <c r="AJ98" s="488"/>
      <c r="AK98" s="465"/>
      <c r="AL98" s="34" t="s">
        <v>30</v>
      </c>
      <c r="AM98" s="31" t="s">
        <v>12</v>
      </c>
      <c r="AN98" s="13">
        <f>$G$98*AO98</f>
        <v>7.6210092769164781E-2</v>
      </c>
      <c r="AO98" s="12">
        <f t="shared" si="30"/>
        <v>5243.7665143419445</v>
      </c>
      <c r="AP98" s="31"/>
      <c r="AQ98" s="4">
        <f t="shared" si="24"/>
        <v>-9.4103833336856013E-9</v>
      </c>
    </row>
    <row r="99" spans="1:43" ht="25.5" x14ac:dyDescent="0.2">
      <c r="A99" s="488"/>
      <c r="B99" s="465"/>
      <c r="C99" s="34" t="s">
        <v>29</v>
      </c>
      <c r="D99" s="31" t="s">
        <v>12</v>
      </c>
      <c r="E99" s="32">
        <v>1</v>
      </c>
      <c r="F99" s="32">
        <v>17716.397999999997</v>
      </c>
      <c r="G99" s="35">
        <f t="shared" si="25"/>
        <v>5.644488230621146E-5</v>
      </c>
      <c r="H99" s="488"/>
      <c r="I99" s="465"/>
      <c r="J99" s="34" t="s">
        <v>29</v>
      </c>
      <c r="K99" s="31" t="s">
        <v>12</v>
      </c>
      <c r="L99" s="13">
        <f>$G$99*M99-0.1</f>
        <v>0.37167868480617539</v>
      </c>
      <c r="M99" s="12">
        <f t="shared" si="26"/>
        <v>8356.447308142755</v>
      </c>
      <c r="N99" s="31"/>
      <c r="O99" s="488"/>
      <c r="P99" s="465"/>
      <c r="Q99" s="34" t="s">
        <v>29</v>
      </c>
      <c r="R99" s="31" t="s">
        <v>12</v>
      </c>
      <c r="S99" s="13">
        <f>$G$99*T99+0.1</f>
        <v>0.10205973357432295</v>
      </c>
      <c r="T99" s="12">
        <f t="shared" si="27"/>
        <v>36.49105977666796</v>
      </c>
      <c r="U99" s="42"/>
      <c r="V99" s="512"/>
      <c r="W99" s="464"/>
      <c r="X99" s="209" t="s">
        <v>29</v>
      </c>
      <c r="Y99" s="31" t="s">
        <v>12</v>
      </c>
      <c r="Z99" s="13">
        <f>$G$99*AA99-0.1</f>
        <v>0.34799176468639725</v>
      </c>
      <c r="AA99" s="20">
        <f t="shared" si="28"/>
        <v>7936.8004039065581</v>
      </c>
      <c r="AB99" s="71"/>
      <c r="AC99" s="472"/>
      <c r="AD99" s="465"/>
      <c r="AE99" s="34" t="s">
        <v>29</v>
      </c>
      <c r="AF99" s="31" t="s">
        <v>12</v>
      </c>
      <c r="AG99" s="13">
        <f>$G$99*AH99+0.1</f>
        <v>0.10205973357432295</v>
      </c>
      <c r="AH99" s="12">
        <f t="shared" si="29"/>
        <v>36.49105977666796</v>
      </c>
      <c r="AI99" s="31"/>
      <c r="AJ99" s="488"/>
      <c r="AK99" s="465"/>
      <c r="AL99" s="34" t="s">
        <v>29</v>
      </c>
      <c r="AM99" s="31" t="s">
        <v>12</v>
      </c>
      <c r="AN99" s="13">
        <f>$G$99*AO99</f>
        <v>7.6210092769164781E-2</v>
      </c>
      <c r="AO99" s="12">
        <f t="shared" si="30"/>
        <v>1350.1683351154452</v>
      </c>
      <c r="AP99" s="31"/>
      <c r="AQ99" s="4">
        <f t="shared" si="24"/>
        <v>-9.4103833336856013E-9</v>
      </c>
    </row>
    <row r="100" spans="1:43" x14ac:dyDescent="0.2">
      <c r="A100" s="488"/>
      <c r="B100" s="465"/>
      <c r="C100" s="34" t="s">
        <v>28</v>
      </c>
      <c r="D100" s="31" t="s">
        <v>12</v>
      </c>
      <c r="E100" s="32">
        <v>1</v>
      </c>
      <c r="F100" s="32">
        <v>40856.213474999997</v>
      </c>
      <c r="G100" s="35">
        <f t="shared" si="25"/>
        <v>2.447608123576851E-5</v>
      </c>
      <c r="H100" s="488"/>
      <c r="I100" s="465"/>
      <c r="J100" s="34" t="s">
        <v>28</v>
      </c>
      <c r="K100" s="31" t="s">
        <v>12</v>
      </c>
      <c r="L100" s="13">
        <f>$G$100*M100-0.1</f>
        <v>0.37167868480617527</v>
      </c>
      <c r="M100" s="12">
        <f t="shared" si="26"/>
        <v>19271.005038048337</v>
      </c>
      <c r="N100" s="31"/>
      <c r="O100" s="488"/>
      <c r="P100" s="465"/>
      <c r="Q100" s="34" t="s">
        <v>28</v>
      </c>
      <c r="R100" s="31" t="s">
        <v>12</v>
      </c>
      <c r="S100" s="13">
        <f>$G$100*T100+0.1</f>
        <v>0.10205973357432295</v>
      </c>
      <c r="T100" s="12">
        <f t="shared" si="27"/>
        <v>84.152914614163222</v>
      </c>
      <c r="U100" s="42"/>
      <c r="V100" s="512"/>
      <c r="W100" s="464"/>
      <c r="X100" s="209" t="s">
        <v>28</v>
      </c>
      <c r="Y100" s="31" t="s">
        <v>12</v>
      </c>
      <c r="Z100" s="13">
        <f>$G$100*AA100-0.1</f>
        <v>0.34799176468639725</v>
      </c>
      <c r="AA100" s="20">
        <f t="shared" si="28"/>
        <v>18303.247173069412</v>
      </c>
      <c r="AB100" s="71"/>
      <c r="AC100" s="472"/>
      <c r="AD100" s="465"/>
      <c r="AE100" s="34" t="s">
        <v>28</v>
      </c>
      <c r="AF100" s="31" t="s">
        <v>12</v>
      </c>
      <c r="AG100" s="13">
        <f>$G$100*AH100+0.1</f>
        <v>0.10205973357432295</v>
      </c>
      <c r="AH100" s="12">
        <f t="shared" si="29"/>
        <v>84.152914614163222</v>
      </c>
      <c r="AI100" s="31"/>
      <c r="AJ100" s="488"/>
      <c r="AK100" s="465"/>
      <c r="AL100" s="34" t="s">
        <v>28</v>
      </c>
      <c r="AM100" s="31" t="s">
        <v>12</v>
      </c>
      <c r="AN100" s="13">
        <f>$G$100*AO100</f>
        <v>7.6210092769164781E-2</v>
      </c>
      <c r="AO100" s="12">
        <f t="shared" si="30"/>
        <v>3113.6558191265499</v>
      </c>
      <c r="AP100" s="31"/>
      <c r="AQ100" s="4">
        <f t="shared" si="24"/>
        <v>-9.4103832226632989E-9</v>
      </c>
    </row>
    <row r="101" spans="1:43" ht="25.5" x14ac:dyDescent="0.2">
      <c r="A101" s="488"/>
      <c r="B101" s="465"/>
      <c r="C101" s="34" t="s">
        <v>27</v>
      </c>
      <c r="D101" s="31" t="s">
        <v>12</v>
      </c>
      <c r="E101" s="32">
        <v>1</v>
      </c>
      <c r="F101" s="32">
        <v>50000</v>
      </c>
      <c r="G101" s="31">
        <f t="shared" si="25"/>
        <v>2.0000000000000002E-5</v>
      </c>
      <c r="H101" s="488"/>
      <c r="I101" s="465"/>
      <c r="J101" s="34" t="s">
        <v>27</v>
      </c>
      <c r="K101" s="31" t="s">
        <v>12</v>
      </c>
      <c r="L101" s="13">
        <f>$G$101*M101-0.1</f>
        <v>0.37167868480617539</v>
      </c>
      <c r="M101" s="12">
        <f t="shared" si="26"/>
        <v>23583.934240308768</v>
      </c>
      <c r="N101" s="31"/>
      <c r="O101" s="488"/>
      <c r="P101" s="465"/>
      <c r="Q101" s="34" t="s">
        <v>27</v>
      </c>
      <c r="R101" s="31" t="s">
        <v>12</v>
      </c>
      <c r="S101" s="13">
        <f>$G$101*T101+0.1</f>
        <v>0.10205973357432295</v>
      </c>
      <c r="T101" s="12">
        <f t="shared" si="27"/>
        <v>102.98667871614751</v>
      </c>
      <c r="U101" s="42"/>
      <c r="V101" s="512"/>
      <c r="W101" s="464"/>
      <c r="X101" s="209" t="s">
        <v>27</v>
      </c>
      <c r="Y101" s="31" t="s">
        <v>12</v>
      </c>
      <c r="Z101" s="13">
        <f>$G$101*AA101-0.1</f>
        <v>0.34799176468639736</v>
      </c>
      <c r="AA101" s="20">
        <f t="shared" si="28"/>
        <v>22399.588234319865</v>
      </c>
      <c r="AB101" s="71"/>
      <c r="AC101" s="472"/>
      <c r="AD101" s="465"/>
      <c r="AE101" s="34" t="s">
        <v>27</v>
      </c>
      <c r="AF101" s="31" t="s">
        <v>12</v>
      </c>
      <c r="AG101" s="13">
        <f>$G$101*AH101+0.1</f>
        <v>0.10205973357432295</v>
      </c>
      <c r="AH101" s="12">
        <f t="shared" si="29"/>
        <v>102.98667871614751</v>
      </c>
      <c r="AI101" s="31"/>
      <c r="AJ101" s="488"/>
      <c r="AK101" s="465"/>
      <c r="AL101" s="34" t="s">
        <v>27</v>
      </c>
      <c r="AM101" s="31" t="s">
        <v>12</v>
      </c>
      <c r="AN101" s="13">
        <f>$G$101*AO101</f>
        <v>7.6210092769164794E-2</v>
      </c>
      <c r="AO101" s="12">
        <f t="shared" si="30"/>
        <v>3810.5046384582392</v>
      </c>
      <c r="AP101" s="31"/>
      <c r="AQ101" s="4">
        <f t="shared" si="24"/>
        <v>-9.4103834585856916E-9</v>
      </c>
    </row>
    <row r="102" spans="1:43" ht="38.25" x14ac:dyDescent="0.2">
      <c r="A102" s="488"/>
      <c r="B102" s="465"/>
      <c r="C102" s="34" t="s">
        <v>26</v>
      </c>
      <c r="D102" s="31" t="s">
        <v>3</v>
      </c>
      <c r="E102" s="32">
        <v>125</v>
      </c>
      <c r="F102" s="32">
        <v>400000</v>
      </c>
      <c r="G102" s="31">
        <f t="shared" si="25"/>
        <v>3.1250000000000001E-4</v>
      </c>
      <c r="H102" s="488"/>
      <c r="I102" s="465"/>
      <c r="J102" s="34" t="s">
        <v>26</v>
      </c>
      <c r="K102" s="31" t="s">
        <v>3</v>
      </c>
      <c r="L102" s="13">
        <f>$G$102*M102</f>
        <v>58.959835600771925</v>
      </c>
      <c r="M102" s="12">
        <f t="shared" si="26"/>
        <v>188671.47392247015</v>
      </c>
      <c r="N102" s="31"/>
      <c r="O102" s="488"/>
      <c r="P102" s="465"/>
      <c r="Q102" s="34" t="s">
        <v>26</v>
      </c>
      <c r="R102" s="31" t="s">
        <v>3</v>
      </c>
      <c r="S102" s="13">
        <f>$G$102*T102</f>
        <v>0.25746669679036877</v>
      </c>
      <c r="T102" s="12">
        <f t="shared" si="27"/>
        <v>823.89342972918007</v>
      </c>
      <c r="U102" s="42"/>
      <c r="V102" s="512"/>
      <c r="W102" s="464"/>
      <c r="X102" s="209" t="s">
        <v>26</v>
      </c>
      <c r="Y102" s="31" t="s">
        <v>3</v>
      </c>
      <c r="Z102" s="13">
        <f>$G$102*AA102</f>
        <v>55.998970585799661</v>
      </c>
      <c r="AA102" s="20">
        <f t="shared" si="28"/>
        <v>179196.70587455892</v>
      </c>
      <c r="AB102" s="71"/>
      <c r="AC102" s="472"/>
      <c r="AD102" s="465"/>
      <c r="AE102" s="34" t="s">
        <v>26</v>
      </c>
      <c r="AF102" s="31" t="s">
        <v>3</v>
      </c>
      <c r="AG102" s="13">
        <f>$G$102*AH102</f>
        <v>0.25746669679036877</v>
      </c>
      <c r="AH102" s="12">
        <f t="shared" si="29"/>
        <v>823.89342972918007</v>
      </c>
      <c r="AI102" s="31"/>
      <c r="AJ102" s="488"/>
      <c r="AK102" s="465"/>
      <c r="AL102" s="34" t="s">
        <v>26</v>
      </c>
      <c r="AM102" s="31" t="s">
        <v>3</v>
      </c>
      <c r="AN102" s="13">
        <f>$G$102*AO102</f>
        <v>9.5262615961455985</v>
      </c>
      <c r="AO102" s="12">
        <f t="shared" si="30"/>
        <v>30484.037107665914</v>
      </c>
      <c r="AP102" s="31"/>
      <c r="AQ102" s="4">
        <f t="shared" si="24"/>
        <v>-1.1762979266194407E-6</v>
      </c>
    </row>
    <row r="103" spans="1:43" ht="63.75" x14ac:dyDescent="0.2">
      <c r="A103" s="488"/>
      <c r="B103" s="465"/>
      <c r="C103" s="34" t="s">
        <v>25</v>
      </c>
      <c r="D103" s="31" t="s">
        <v>3</v>
      </c>
      <c r="E103" s="32">
        <v>90</v>
      </c>
      <c r="F103" s="32">
        <v>135000</v>
      </c>
      <c r="G103" s="31">
        <f t="shared" si="25"/>
        <v>6.6666666666666664E-4</v>
      </c>
      <c r="H103" s="488"/>
      <c r="I103" s="465"/>
      <c r="J103" s="34" t="s">
        <v>25</v>
      </c>
      <c r="K103" s="31" t="s">
        <v>3</v>
      </c>
      <c r="L103" s="13">
        <f>$G$103*M103</f>
        <v>42.451081632555784</v>
      </c>
      <c r="M103" s="12">
        <f t="shared" si="26"/>
        <v>63676.622448833674</v>
      </c>
      <c r="N103" s="31"/>
      <c r="O103" s="488"/>
      <c r="P103" s="465"/>
      <c r="Q103" s="34" t="s">
        <v>25</v>
      </c>
      <c r="R103" s="31" t="s">
        <v>3</v>
      </c>
      <c r="S103" s="13">
        <f>$G$103*T103</f>
        <v>0.1853760216890655</v>
      </c>
      <c r="T103" s="12">
        <f t="shared" si="27"/>
        <v>278.06403253359827</v>
      </c>
      <c r="U103" s="42"/>
      <c r="V103" s="512"/>
      <c r="W103" s="464"/>
      <c r="X103" s="209" t="s">
        <v>25</v>
      </c>
      <c r="Y103" s="31" t="s">
        <v>3</v>
      </c>
      <c r="Z103" s="13">
        <f>$G$103*AA103</f>
        <v>40.319258821775755</v>
      </c>
      <c r="AA103" s="20">
        <f t="shared" si="28"/>
        <v>60478.88823266363</v>
      </c>
      <c r="AB103" s="71"/>
      <c r="AC103" s="472"/>
      <c r="AD103" s="465"/>
      <c r="AE103" s="34" t="s">
        <v>25</v>
      </c>
      <c r="AF103" s="31" t="s">
        <v>3</v>
      </c>
      <c r="AG103" s="13">
        <f>$G$103*AH103</f>
        <v>0.1853760216890655</v>
      </c>
      <c r="AH103" s="12">
        <f t="shared" si="29"/>
        <v>278.06403253359827</v>
      </c>
      <c r="AI103" s="31"/>
      <c r="AJ103" s="488"/>
      <c r="AK103" s="465"/>
      <c r="AL103" s="34" t="s">
        <v>25</v>
      </c>
      <c r="AM103" s="31" t="s">
        <v>3</v>
      </c>
      <c r="AN103" s="13">
        <f>$G$103*AO103</f>
        <v>6.8589083492248308</v>
      </c>
      <c r="AO103" s="12">
        <f t="shared" si="30"/>
        <v>10288.362523837246</v>
      </c>
      <c r="AP103" s="31"/>
      <c r="AQ103" s="4">
        <f t="shared" si="24"/>
        <v>-8.4693450119743829E-7</v>
      </c>
    </row>
    <row r="104" spans="1:43" ht="51" x14ac:dyDescent="0.2">
      <c r="A104" s="488"/>
      <c r="B104" s="465"/>
      <c r="C104" s="34" t="s">
        <v>24</v>
      </c>
      <c r="D104" s="31" t="s">
        <v>3</v>
      </c>
      <c r="E104" s="32">
        <v>55</v>
      </c>
      <c r="F104" s="32">
        <v>30000</v>
      </c>
      <c r="G104" s="31">
        <f t="shared" si="25"/>
        <v>1.8333333333333333E-3</v>
      </c>
      <c r="H104" s="488"/>
      <c r="I104" s="465"/>
      <c r="J104" s="34" t="s">
        <v>24</v>
      </c>
      <c r="K104" s="31" t="s">
        <v>3</v>
      </c>
      <c r="L104" s="13">
        <f>$G$104*M104</f>
        <v>25.942327664339647</v>
      </c>
      <c r="M104" s="12">
        <f t="shared" si="26"/>
        <v>14150.360544185261</v>
      </c>
      <c r="N104" s="31"/>
      <c r="O104" s="488"/>
      <c r="P104" s="465"/>
      <c r="Q104" s="34" t="s">
        <v>24</v>
      </c>
      <c r="R104" s="31" t="s">
        <v>3</v>
      </c>
      <c r="S104" s="13">
        <f>$G$104*T104</f>
        <v>0.11328534658776225</v>
      </c>
      <c r="T104" s="12">
        <f t="shared" si="27"/>
        <v>61.792007229688501</v>
      </c>
      <c r="U104" s="42"/>
      <c r="V104" s="512"/>
      <c r="W104" s="464"/>
      <c r="X104" s="209" t="s">
        <v>24</v>
      </c>
      <c r="Y104" s="31" t="s">
        <v>3</v>
      </c>
      <c r="Z104" s="13">
        <f>$G$104*AA104</f>
        <v>24.639547057751852</v>
      </c>
      <c r="AA104" s="20">
        <f t="shared" si="28"/>
        <v>13439.752940591919</v>
      </c>
      <c r="AB104" s="71"/>
      <c r="AC104" s="472"/>
      <c r="AD104" s="465"/>
      <c r="AE104" s="34" t="s">
        <v>24</v>
      </c>
      <c r="AF104" s="31" t="s">
        <v>3</v>
      </c>
      <c r="AG104" s="13">
        <f>$G$104*AH104</f>
        <v>0.11328534658776225</v>
      </c>
      <c r="AH104" s="12">
        <f t="shared" si="29"/>
        <v>61.792007229688501</v>
      </c>
      <c r="AI104" s="31"/>
      <c r="AJ104" s="488"/>
      <c r="AK104" s="465"/>
      <c r="AL104" s="34" t="s">
        <v>24</v>
      </c>
      <c r="AM104" s="31" t="s">
        <v>3</v>
      </c>
      <c r="AN104" s="13">
        <f>$G$104*AO104</f>
        <v>4.1915551023040631</v>
      </c>
      <c r="AO104" s="12">
        <f t="shared" si="30"/>
        <v>2286.3027830749434</v>
      </c>
      <c r="AP104" s="31"/>
      <c r="AQ104" s="4">
        <f t="shared" si="24"/>
        <v>-5.1757108643357697E-7</v>
      </c>
    </row>
    <row r="105" spans="1:43" ht="38.25" x14ac:dyDescent="0.2">
      <c r="A105" s="488"/>
      <c r="B105" s="465"/>
      <c r="C105" s="34" t="s">
        <v>23</v>
      </c>
      <c r="D105" s="31" t="s">
        <v>3</v>
      </c>
      <c r="E105" s="32">
        <v>18</v>
      </c>
      <c r="F105" s="32">
        <v>40000</v>
      </c>
      <c r="G105" s="31">
        <f t="shared" si="25"/>
        <v>4.4999999999999999E-4</v>
      </c>
      <c r="H105" s="488"/>
      <c r="I105" s="465"/>
      <c r="J105" s="34" t="s">
        <v>23</v>
      </c>
      <c r="K105" s="31" t="s">
        <v>3</v>
      </c>
      <c r="L105" s="13">
        <f>$G$105*M105-0.1</f>
        <v>8.3902163265111565</v>
      </c>
      <c r="M105" s="12">
        <f t="shared" si="26"/>
        <v>18867.147392247014</v>
      </c>
      <c r="N105" s="31"/>
      <c r="O105" s="488"/>
      <c r="P105" s="465"/>
      <c r="Q105" s="34" t="s">
        <v>23</v>
      </c>
      <c r="R105" s="31" t="s">
        <v>3</v>
      </c>
      <c r="S105" s="13">
        <f>$G$105*T105+0.1</f>
        <v>0.13707520433781312</v>
      </c>
      <c r="T105" s="12">
        <f t="shared" si="27"/>
        <v>82.389342972918001</v>
      </c>
      <c r="U105" s="42"/>
      <c r="V105" s="512"/>
      <c r="W105" s="464"/>
      <c r="X105" s="209" t="s">
        <v>23</v>
      </c>
      <c r="Y105" s="31" t="s">
        <v>3</v>
      </c>
      <c r="Z105" s="13">
        <f>$G$105*AA105-0.1</f>
        <v>7.9638517643551499</v>
      </c>
      <c r="AA105" s="20">
        <f t="shared" si="28"/>
        <v>17919.67058745589</v>
      </c>
      <c r="AB105" s="71"/>
      <c r="AC105" s="472"/>
      <c r="AD105" s="465"/>
      <c r="AE105" s="34" t="s">
        <v>23</v>
      </c>
      <c r="AF105" s="31" t="s">
        <v>3</v>
      </c>
      <c r="AG105" s="13">
        <f>$G$105*AH105+0.1</f>
        <v>0.13707520433781312</v>
      </c>
      <c r="AH105" s="12">
        <f t="shared" si="29"/>
        <v>82.389342972918001</v>
      </c>
      <c r="AI105" s="31"/>
      <c r="AJ105" s="488"/>
      <c r="AK105" s="465"/>
      <c r="AL105" s="34" t="s">
        <v>23</v>
      </c>
      <c r="AM105" s="31" t="s">
        <v>3</v>
      </c>
      <c r="AN105" s="13">
        <f>$G$105*AO105</f>
        <v>1.3717816698449661</v>
      </c>
      <c r="AO105" s="12">
        <f t="shared" si="30"/>
        <v>3048.4037107665913</v>
      </c>
      <c r="AP105" s="31"/>
      <c r="AQ105" s="4">
        <f t="shared" si="24"/>
        <v>-1.6938689917367356E-7</v>
      </c>
    </row>
    <row r="106" spans="1:43" ht="114.75" x14ac:dyDescent="0.2">
      <c r="A106" s="488"/>
      <c r="B106" s="465"/>
      <c r="C106" s="34" t="s">
        <v>22</v>
      </c>
      <c r="D106" s="31" t="s">
        <v>12</v>
      </c>
      <c r="E106" s="32">
        <v>1</v>
      </c>
      <c r="F106" s="32">
        <v>68296.320000000007</v>
      </c>
      <c r="G106" s="35">
        <f t="shared" si="25"/>
        <v>1.4642077347652112E-5</v>
      </c>
      <c r="H106" s="488"/>
      <c r="I106" s="465"/>
      <c r="J106" s="34" t="s">
        <v>22</v>
      </c>
      <c r="K106" s="31" t="s">
        <v>12</v>
      </c>
      <c r="L106" s="13">
        <f>$G$106*M106-0.1</f>
        <v>0.37167868480617539</v>
      </c>
      <c r="M106" s="12">
        <f t="shared" si="26"/>
        <v>32213.918394701694</v>
      </c>
      <c r="N106" s="31"/>
      <c r="O106" s="488"/>
      <c r="P106" s="465"/>
      <c r="Q106" s="34" t="s">
        <v>22</v>
      </c>
      <c r="R106" s="31" t="s">
        <v>12</v>
      </c>
      <c r="S106" s="13">
        <f>$G$106*T106+0.1</f>
        <v>0.10205973357432295</v>
      </c>
      <c r="T106" s="12">
        <f t="shared" si="27"/>
        <v>140.67222330670398</v>
      </c>
      <c r="U106" s="42"/>
      <c r="V106" s="512"/>
      <c r="W106" s="464"/>
      <c r="X106" s="209" t="s">
        <v>22</v>
      </c>
      <c r="Y106" s="31" t="s">
        <v>12</v>
      </c>
      <c r="Z106" s="13">
        <f>$G$106*AA106-0.1</f>
        <v>0.34799176468639725</v>
      </c>
      <c r="AA106" s="20">
        <f t="shared" si="28"/>
        <v>30596.188918386892</v>
      </c>
      <c r="AB106" s="71"/>
      <c r="AC106" s="472"/>
      <c r="AD106" s="465"/>
      <c r="AE106" s="34" t="s">
        <v>22</v>
      </c>
      <c r="AF106" s="31" t="s">
        <v>12</v>
      </c>
      <c r="AG106" s="13">
        <f>$G$106*AH106+0.1</f>
        <v>0.10205973357432295</v>
      </c>
      <c r="AH106" s="12">
        <f t="shared" si="29"/>
        <v>140.67222330670398</v>
      </c>
      <c r="AI106" s="31"/>
      <c r="AJ106" s="488"/>
      <c r="AK106" s="465"/>
      <c r="AL106" s="34" t="s">
        <v>22</v>
      </c>
      <c r="AM106" s="31" t="s">
        <v>12</v>
      </c>
      <c r="AN106" s="13">
        <f>$G$106*AO106</f>
        <v>7.6210092769164781E-2</v>
      </c>
      <c r="AO106" s="12">
        <f t="shared" si="30"/>
        <v>5204.8688829925641</v>
      </c>
      <c r="AP106" s="31"/>
      <c r="AQ106" s="4">
        <f t="shared" si="24"/>
        <v>-9.4103833336856013E-9</v>
      </c>
    </row>
    <row r="107" spans="1:43" ht="25.5" x14ac:dyDescent="0.2">
      <c r="A107" s="488"/>
      <c r="B107" s="465"/>
      <c r="C107" s="34" t="s">
        <v>21</v>
      </c>
      <c r="D107" s="31" t="s">
        <v>20</v>
      </c>
      <c r="E107" s="32">
        <v>3.54</v>
      </c>
      <c r="F107" s="32">
        <f>25350-494</f>
        <v>24856</v>
      </c>
      <c r="G107" s="31">
        <f t="shared" si="25"/>
        <v>1.4242034116511104E-4</v>
      </c>
      <c r="H107" s="488"/>
      <c r="I107" s="465"/>
      <c r="J107" s="34" t="s">
        <v>21</v>
      </c>
      <c r="K107" s="31" t="s">
        <v>20</v>
      </c>
      <c r="L107" s="13">
        <f>$G$107*M107-0.1</f>
        <v>1.5697425442138606</v>
      </c>
      <c r="M107" s="12">
        <f t="shared" si="26"/>
        <v>11724.045389542294</v>
      </c>
      <c r="N107" s="31"/>
      <c r="O107" s="488"/>
      <c r="P107" s="465"/>
      <c r="Q107" s="34" t="s">
        <v>21</v>
      </c>
      <c r="R107" s="31" t="s">
        <v>20</v>
      </c>
      <c r="S107" s="13">
        <f>$G$107*T107+0.1</f>
        <v>0.10729145685310325</v>
      </c>
      <c r="T107" s="12">
        <f t="shared" si="27"/>
        <v>51.19673772337125</v>
      </c>
      <c r="U107" s="42"/>
      <c r="V107" s="512"/>
      <c r="W107" s="464"/>
      <c r="X107" s="209" t="s">
        <v>21</v>
      </c>
      <c r="Y107" s="31" t="s">
        <v>20</v>
      </c>
      <c r="Z107" s="13">
        <f>$G$107*AA107-0.1</f>
        <v>1.4858908469898462</v>
      </c>
      <c r="AA107" s="20">
        <f t="shared" si="28"/>
        <v>11135.283303045091</v>
      </c>
      <c r="AB107" s="71"/>
      <c r="AC107" s="472"/>
      <c r="AD107" s="465"/>
      <c r="AE107" s="34" t="s">
        <v>21</v>
      </c>
      <c r="AF107" s="31" t="s">
        <v>20</v>
      </c>
      <c r="AG107" s="13">
        <f>$G$107*AH107+0.1</f>
        <v>0.10729145685310325</v>
      </c>
      <c r="AH107" s="12">
        <f t="shared" si="29"/>
        <v>51.19673772337125</v>
      </c>
      <c r="AI107" s="31"/>
      <c r="AJ107" s="488"/>
      <c r="AK107" s="465"/>
      <c r="AL107" s="34" t="s">
        <v>21</v>
      </c>
      <c r="AM107" s="31" t="s">
        <v>20</v>
      </c>
      <c r="AN107" s="13">
        <f>$G$107*AO107</f>
        <v>0.26978372840284331</v>
      </c>
      <c r="AO107" s="12">
        <f t="shared" si="30"/>
        <v>1894.2780658703598</v>
      </c>
      <c r="AP107" s="31"/>
      <c r="AQ107" s="4">
        <f t="shared" si="24"/>
        <v>-3.3312756497760887E-8</v>
      </c>
    </row>
    <row r="108" spans="1:43" ht="25.5" x14ac:dyDescent="0.2">
      <c r="A108" s="488"/>
      <c r="B108" s="465"/>
      <c r="C108" s="34" t="s">
        <v>19</v>
      </c>
      <c r="D108" s="31" t="s">
        <v>3</v>
      </c>
      <c r="E108" s="32">
        <v>30</v>
      </c>
      <c r="F108" s="32">
        <v>30000</v>
      </c>
      <c r="G108" s="31">
        <f t="shared" si="25"/>
        <v>1E-3</v>
      </c>
      <c r="H108" s="488"/>
      <c r="I108" s="465"/>
      <c r="J108" s="34" t="s">
        <v>19</v>
      </c>
      <c r="K108" s="31" t="s">
        <v>3</v>
      </c>
      <c r="L108" s="13">
        <f>$G$108*M108</f>
        <v>14.150360544185261</v>
      </c>
      <c r="M108" s="12">
        <f t="shared" si="26"/>
        <v>14150.360544185261</v>
      </c>
      <c r="N108" s="31"/>
      <c r="O108" s="488"/>
      <c r="P108" s="465"/>
      <c r="Q108" s="34" t="s">
        <v>19</v>
      </c>
      <c r="R108" s="31" t="s">
        <v>3</v>
      </c>
      <c r="S108" s="13">
        <f>$G$108*T108</f>
        <v>6.17920072296885E-2</v>
      </c>
      <c r="T108" s="12">
        <f t="shared" si="27"/>
        <v>61.792007229688501</v>
      </c>
      <c r="U108" s="42"/>
      <c r="V108" s="512"/>
      <c r="W108" s="464"/>
      <c r="X108" s="209" t="s">
        <v>19</v>
      </c>
      <c r="Y108" s="31" t="s">
        <v>3</v>
      </c>
      <c r="Z108" s="13">
        <f>$G$108*AA108</f>
        <v>13.439752940591919</v>
      </c>
      <c r="AA108" s="20">
        <f t="shared" si="28"/>
        <v>13439.752940591919</v>
      </c>
      <c r="AB108" s="71"/>
      <c r="AC108" s="472"/>
      <c r="AD108" s="465"/>
      <c r="AE108" s="34" t="s">
        <v>19</v>
      </c>
      <c r="AF108" s="31" t="s">
        <v>3</v>
      </c>
      <c r="AG108" s="13">
        <f>$G$108*AH108</f>
        <v>6.17920072296885E-2</v>
      </c>
      <c r="AH108" s="12">
        <f t="shared" si="29"/>
        <v>61.792007229688501</v>
      </c>
      <c r="AI108" s="31"/>
      <c r="AJ108" s="488"/>
      <c r="AK108" s="465"/>
      <c r="AL108" s="34" t="s">
        <v>19</v>
      </c>
      <c r="AM108" s="31" t="s">
        <v>3</v>
      </c>
      <c r="AN108" s="13">
        <f>$G$108*AO108</f>
        <v>2.2863027830749436</v>
      </c>
      <c r="AO108" s="12">
        <f t="shared" si="30"/>
        <v>2286.3027830749434</v>
      </c>
      <c r="AP108" s="31"/>
      <c r="AQ108" s="4">
        <f t="shared" ref="AQ108:AQ123" si="31">E108-L108-S108-Z108-AG108-AN108</f>
        <v>-2.8231150217550294E-7</v>
      </c>
    </row>
    <row r="109" spans="1:43" ht="25.5" x14ac:dyDescent="0.2">
      <c r="A109" s="488"/>
      <c r="B109" s="465"/>
      <c r="C109" s="34" t="s">
        <v>18</v>
      </c>
      <c r="D109" s="31" t="s">
        <v>3</v>
      </c>
      <c r="E109" s="32">
        <v>10</v>
      </c>
      <c r="F109" s="32">
        <v>10000</v>
      </c>
      <c r="G109" s="31">
        <f t="shared" si="25"/>
        <v>1E-3</v>
      </c>
      <c r="H109" s="488"/>
      <c r="I109" s="465"/>
      <c r="J109" s="34" t="s">
        <v>18</v>
      </c>
      <c r="K109" s="31" t="s">
        <v>3</v>
      </c>
      <c r="L109" s="13">
        <f>$G$109*M109-0.1</f>
        <v>4.6167868480617535</v>
      </c>
      <c r="M109" s="12">
        <f t="shared" si="26"/>
        <v>4716.7868480617535</v>
      </c>
      <c r="N109" s="31"/>
      <c r="O109" s="488"/>
      <c r="P109" s="465"/>
      <c r="Q109" s="34" t="s">
        <v>18</v>
      </c>
      <c r="R109" s="31" t="s">
        <v>3</v>
      </c>
      <c r="S109" s="13">
        <f>$G$109*T109+0.1</f>
        <v>0.12059733574322951</v>
      </c>
      <c r="T109" s="12">
        <f t="shared" si="27"/>
        <v>20.5973357432295</v>
      </c>
      <c r="U109" s="42"/>
      <c r="V109" s="512"/>
      <c r="W109" s="464"/>
      <c r="X109" s="209" t="s">
        <v>18</v>
      </c>
      <c r="Y109" s="31" t="s">
        <v>3</v>
      </c>
      <c r="Z109" s="13">
        <f>$G$109*AA109-0.1</f>
        <v>4.3799176468639729</v>
      </c>
      <c r="AA109" s="20">
        <f t="shared" si="28"/>
        <v>4479.9176468639725</v>
      </c>
      <c r="AB109" s="71"/>
      <c r="AC109" s="472"/>
      <c r="AD109" s="465"/>
      <c r="AE109" s="34" t="s">
        <v>18</v>
      </c>
      <c r="AF109" s="31" t="s">
        <v>3</v>
      </c>
      <c r="AG109" s="13">
        <f>$G$109*AH109+0.1</f>
        <v>0.12059733574322951</v>
      </c>
      <c r="AH109" s="12">
        <f t="shared" si="29"/>
        <v>20.5973357432295</v>
      </c>
      <c r="AI109" s="31"/>
      <c r="AJ109" s="488"/>
      <c r="AK109" s="465"/>
      <c r="AL109" s="34" t="s">
        <v>18</v>
      </c>
      <c r="AM109" s="31" t="s">
        <v>3</v>
      </c>
      <c r="AN109" s="13">
        <f>$G$109*AO109</f>
        <v>0.76210092769164783</v>
      </c>
      <c r="AO109" s="12">
        <f t="shared" si="30"/>
        <v>762.10092769164783</v>
      </c>
      <c r="AP109" s="31"/>
      <c r="AQ109" s="4">
        <f t="shared" si="31"/>
        <v>-9.4103833503389467E-8</v>
      </c>
    </row>
    <row r="110" spans="1:43" ht="51" x14ac:dyDescent="0.2">
      <c r="A110" s="488"/>
      <c r="B110" s="465"/>
      <c r="C110" s="34" t="s">
        <v>17</v>
      </c>
      <c r="D110" s="31" t="s">
        <v>12</v>
      </c>
      <c r="E110" s="32">
        <v>1</v>
      </c>
      <c r="F110" s="32">
        <v>18774</v>
      </c>
      <c r="G110" s="18">
        <f t="shared" si="25"/>
        <v>5.3265153936294876E-5</v>
      </c>
      <c r="H110" s="488"/>
      <c r="I110" s="465"/>
      <c r="J110" s="34" t="s">
        <v>17</v>
      </c>
      <c r="K110" s="31" t="s">
        <v>12</v>
      </c>
      <c r="L110" s="13">
        <f>$G$110*M110-0.1</f>
        <v>0.37167868480617527</v>
      </c>
      <c r="M110" s="12">
        <f t="shared" si="26"/>
        <v>8855.2956285511355</v>
      </c>
      <c r="N110" s="31"/>
      <c r="O110" s="488"/>
      <c r="P110" s="465"/>
      <c r="Q110" s="34" t="s">
        <v>17</v>
      </c>
      <c r="R110" s="31" t="s">
        <v>12</v>
      </c>
      <c r="S110" s="13">
        <f>$G$110*T110+0.1</f>
        <v>0.10205973357432295</v>
      </c>
      <c r="T110" s="12">
        <f t="shared" si="27"/>
        <v>38.669438124339067</v>
      </c>
      <c r="U110" s="42"/>
      <c r="V110" s="512"/>
      <c r="W110" s="464"/>
      <c r="X110" s="209" t="s">
        <v>17</v>
      </c>
      <c r="Y110" s="31" t="s">
        <v>12</v>
      </c>
      <c r="Z110" s="13">
        <f>$G$110*AA110-0.1</f>
        <v>0.34799176468639736</v>
      </c>
      <c r="AA110" s="20">
        <f t="shared" si="28"/>
        <v>8410.5973902224232</v>
      </c>
      <c r="AB110" s="71"/>
      <c r="AC110" s="472"/>
      <c r="AD110" s="465"/>
      <c r="AE110" s="34" t="s">
        <v>17</v>
      </c>
      <c r="AF110" s="31" t="s">
        <v>12</v>
      </c>
      <c r="AG110" s="13">
        <f>$G$110*AH110+0.1</f>
        <v>0.10205973357432295</v>
      </c>
      <c r="AH110" s="12">
        <f t="shared" si="29"/>
        <v>38.669438124339067</v>
      </c>
      <c r="AI110" s="31"/>
      <c r="AJ110" s="488"/>
      <c r="AK110" s="465"/>
      <c r="AL110" s="34" t="s">
        <v>17</v>
      </c>
      <c r="AM110" s="31" t="s">
        <v>12</v>
      </c>
      <c r="AN110" s="13">
        <f>$G$110*AO110</f>
        <v>7.6210092769164781E-2</v>
      </c>
      <c r="AO110" s="12">
        <f t="shared" si="30"/>
        <v>1430.7682816482995</v>
      </c>
      <c r="AP110" s="31"/>
      <c r="AQ110" s="4">
        <f t="shared" si="31"/>
        <v>-9.4103833336856013E-9</v>
      </c>
    </row>
    <row r="111" spans="1:43" ht="89.25" x14ac:dyDescent="0.2">
      <c r="A111" s="488"/>
      <c r="B111" s="465"/>
      <c r="C111" s="34" t="s">
        <v>16</v>
      </c>
      <c r="D111" s="31" t="s">
        <v>3</v>
      </c>
      <c r="E111" s="32">
        <v>90</v>
      </c>
      <c r="F111" s="32">
        <f>200000+20000+24000+4000+2000+165000</f>
        <v>415000</v>
      </c>
      <c r="G111" s="18">
        <f t="shared" si="25"/>
        <v>2.1686746987951806E-4</v>
      </c>
      <c r="H111" s="488"/>
      <c r="I111" s="465"/>
      <c r="J111" s="34" t="s">
        <v>16</v>
      </c>
      <c r="K111" s="31" t="s">
        <v>3</v>
      </c>
      <c r="L111" s="13">
        <f>$G$111*M111</f>
        <v>42.451081632555784</v>
      </c>
      <c r="M111" s="12">
        <f t="shared" si="26"/>
        <v>195746.65419456278</v>
      </c>
      <c r="N111" s="31"/>
      <c r="O111" s="488"/>
      <c r="P111" s="465"/>
      <c r="Q111" s="34" t="s">
        <v>16</v>
      </c>
      <c r="R111" s="31" t="s">
        <v>3</v>
      </c>
      <c r="S111" s="13">
        <f>$G$111*T111</f>
        <v>0.1853760216890655</v>
      </c>
      <c r="T111" s="12">
        <f t="shared" si="27"/>
        <v>854.78943334402425</v>
      </c>
      <c r="U111" s="42"/>
      <c r="V111" s="512"/>
      <c r="W111" s="464"/>
      <c r="X111" s="209" t="s">
        <v>16</v>
      </c>
      <c r="Y111" s="31" t="s">
        <v>3</v>
      </c>
      <c r="Z111" s="13">
        <f>$G$111*AA111</f>
        <v>40.319258821775755</v>
      </c>
      <c r="AA111" s="20">
        <f t="shared" si="28"/>
        <v>185916.58234485486</v>
      </c>
      <c r="AB111" s="71"/>
      <c r="AC111" s="472"/>
      <c r="AD111" s="465"/>
      <c r="AE111" s="34" t="s">
        <v>16</v>
      </c>
      <c r="AF111" s="31" t="s">
        <v>3</v>
      </c>
      <c r="AG111" s="13">
        <f>$G$111*AH111</f>
        <v>0.1853760216890655</v>
      </c>
      <c r="AH111" s="12">
        <f t="shared" si="29"/>
        <v>854.78943334402425</v>
      </c>
      <c r="AI111" s="31"/>
      <c r="AJ111" s="488"/>
      <c r="AK111" s="465"/>
      <c r="AL111" s="34" t="s">
        <v>16</v>
      </c>
      <c r="AM111" s="31" t="s">
        <v>3</v>
      </c>
      <c r="AN111" s="13">
        <f>$G$111*AO111</f>
        <v>6.8589083492248299</v>
      </c>
      <c r="AO111" s="12">
        <f t="shared" si="30"/>
        <v>31627.188499203385</v>
      </c>
      <c r="AP111" s="31"/>
      <c r="AQ111" s="4">
        <f t="shared" si="31"/>
        <v>-8.4693450030925987E-7</v>
      </c>
    </row>
    <row r="112" spans="1:43" ht="38.25" x14ac:dyDescent="0.2">
      <c r="A112" s="488"/>
      <c r="B112" s="465"/>
      <c r="C112" s="34" t="s">
        <v>15</v>
      </c>
      <c r="D112" s="31" t="s">
        <v>12</v>
      </c>
      <c r="E112" s="32">
        <v>1</v>
      </c>
      <c r="F112" s="32">
        <v>7500</v>
      </c>
      <c r="G112" s="18">
        <f t="shared" si="25"/>
        <v>1.3333333333333334E-4</v>
      </c>
      <c r="H112" s="488"/>
      <c r="I112" s="465"/>
      <c r="J112" s="34" t="s">
        <v>15</v>
      </c>
      <c r="K112" s="31" t="s">
        <v>12</v>
      </c>
      <c r="L112" s="13">
        <f>$G$112*M112-0.1</f>
        <v>0.37167868480617539</v>
      </c>
      <c r="M112" s="12">
        <f t="shared" si="26"/>
        <v>3537.5901360463154</v>
      </c>
      <c r="N112" s="31"/>
      <c r="O112" s="488"/>
      <c r="P112" s="465"/>
      <c r="Q112" s="34" t="s">
        <v>15</v>
      </c>
      <c r="R112" s="31" t="s">
        <v>12</v>
      </c>
      <c r="S112" s="13">
        <f>$G$112*T112+0.1</f>
        <v>0.10205973357432295</v>
      </c>
      <c r="T112" s="12">
        <f t="shared" si="27"/>
        <v>15.448001807422125</v>
      </c>
      <c r="U112" s="42"/>
      <c r="V112" s="512"/>
      <c r="W112" s="464"/>
      <c r="X112" s="209" t="s">
        <v>15</v>
      </c>
      <c r="Y112" s="31" t="s">
        <v>12</v>
      </c>
      <c r="Z112" s="13">
        <f>$G$112*AA112</f>
        <v>0.44799176468639734</v>
      </c>
      <c r="AA112" s="20">
        <f t="shared" si="28"/>
        <v>3359.9382351479799</v>
      </c>
      <c r="AB112" s="71"/>
      <c r="AC112" s="472"/>
      <c r="AD112" s="465"/>
      <c r="AE112" s="34" t="s">
        <v>15</v>
      </c>
      <c r="AF112" s="31" t="s">
        <v>12</v>
      </c>
      <c r="AG112" s="13">
        <f>$G$112*AH112</f>
        <v>2.0597335743229501E-3</v>
      </c>
      <c r="AH112" s="12">
        <f t="shared" si="29"/>
        <v>15.448001807422125</v>
      </c>
      <c r="AI112" s="31"/>
      <c r="AJ112" s="488"/>
      <c r="AK112" s="465"/>
      <c r="AL112" s="34" t="s">
        <v>15</v>
      </c>
      <c r="AM112" s="31" t="s">
        <v>12</v>
      </c>
      <c r="AN112" s="13">
        <f>$G$112*AO112</f>
        <v>7.6210092769164781E-2</v>
      </c>
      <c r="AO112" s="12">
        <f t="shared" si="30"/>
        <v>571.57569576873584</v>
      </c>
      <c r="AP112" s="31"/>
      <c r="AQ112" s="4">
        <f t="shared" si="31"/>
        <v>-9.4103834169523282E-9</v>
      </c>
    </row>
    <row r="113" spans="1:43" ht="108" x14ac:dyDescent="0.2">
      <c r="A113" s="488"/>
      <c r="B113" s="465"/>
      <c r="C113" s="15" t="s">
        <v>14</v>
      </c>
      <c r="D113" s="31" t="s">
        <v>10</v>
      </c>
      <c r="E113" s="33">
        <v>110</v>
      </c>
      <c r="F113" s="33">
        <v>20000</v>
      </c>
      <c r="G113" s="18">
        <f t="shared" si="25"/>
        <v>5.4999999999999997E-3</v>
      </c>
      <c r="H113" s="488"/>
      <c r="I113" s="465"/>
      <c r="J113" s="15" t="s">
        <v>14</v>
      </c>
      <c r="K113" s="31" t="s">
        <v>10</v>
      </c>
      <c r="L113" s="13">
        <f>$G$113*M113</f>
        <v>51.884655328679287</v>
      </c>
      <c r="M113" s="12">
        <f t="shared" si="26"/>
        <v>9433.573696123507</v>
      </c>
      <c r="N113" s="31"/>
      <c r="O113" s="488"/>
      <c r="P113" s="465"/>
      <c r="Q113" s="15" t="s">
        <v>14</v>
      </c>
      <c r="R113" s="31" t="s">
        <v>10</v>
      </c>
      <c r="S113" s="13">
        <f>$G$113*T113</f>
        <v>0.2265706931755245</v>
      </c>
      <c r="T113" s="12">
        <f t="shared" si="27"/>
        <v>41.194671486459001</v>
      </c>
      <c r="U113" s="42"/>
      <c r="V113" s="512"/>
      <c r="W113" s="464"/>
      <c r="X113" s="210" t="s">
        <v>14</v>
      </c>
      <c r="Y113" s="31" t="s">
        <v>10</v>
      </c>
      <c r="Z113" s="13">
        <f>$G$113*AA113</f>
        <v>49.279094115503696</v>
      </c>
      <c r="AA113" s="20">
        <f t="shared" si="28"/>
        <v>8959.8352937279451</v>
      </c>
      <c r="AB113" s="71"/>
      <c r="AC113" s="472"/>
      <c r="AD113" s="465"/>
      <c r="AE113" s="15" t="s">
        <v>14</v>
      </c>
      <c r="AF113" s="31" t="s">
        <v>10</v>
      </c>
      <c r="AG113" s="13">
        <f>$G$113*AH113</f>
        <v>0.2265706931755245</v>
      </c>
      <c r="AH113" s="12">
        <f t="shared" si="29"/>
        <v>41.194671486459001</v>
      </c>
      <c r="AI113" s="31"/>
      <c r="AJ113" s="488"/>
      <c r="AK113" s="465"/>
      <c r="AL113" s="15" t="s">
        <v>14</v>
      </c>
      <c r="AM113" s="31" t="s">
        <v>10</v>
      </c>
      <c r="AN113" s="13">
        <f>$G$113*AO113</f>
        <v>8.3831102046081263</v>
      </c>
      <c r="AO113" s="12">
        <f t="shared" si="30"/>
        <v>1524.2018553832957</v>
      </c>
      <c r="AP113" s="31"/>
      <c r="AQ113" s="4">
        <f t="shared" si="31"/>
        <v>-1.0351421586562992E-6</v>
      </c>
    </row>
    <row r="114" spans="1:43" ht="40.5" x14ac:dyDescent="0.2">
      <c r="A114" s="488"/>
      <c r="B114" s="465"/>
      <c r="C114" s="15" t="s">
        <v>13</v>
      </c>
      <c r="D114" s="31" t="s">
        <v>12</v>
      </c>
      <c r="E114" s="33">
        <v>1</v>
      </c>
      <c r="F114" s="33">
        <v>150000</v>
      </c>
      <c r="G114" s="18">
        <f t="shared" si="25"/>
        <v>6.6666666666666666E-6</v>
      </c>
      <c r="H114" s="488"/>
      <c r="I114" s="465"/>
      <c r="J114" s="15" t="s">
        <v>13</v>
      </c>
      <c r="K114" s="31" t="s">
        <v>12</v>
      </c>
      <c r="L114" s="13">
        <f>$G$114*M114-0.1</f>
        <v>0.37167868480617539</v>
      </c>
      <c r="M114" s="12">
        <f t="shared" si="26"/>
        <v>70751.802720926309</v>
      </c>
      <c r="N114" s="31"/>
      <c r="O114" s="488"/>
      <c r="P114" s="465"/>
      <c r="Q114" s="15" t="s">
        <v>13</v>
      </c>
      <c r="R114" s="31" t="s">
        <v>12</v>
      </c>
      <c r="S114" s="13">
        <f>$G$114*T114+0.1</f>
        <v>0.10205973357432295</v>
      </c>
      <c r="T114" s="12">
        <f t="shared" si="27"/>
        <v>308.9600361484425</v>
      </c>
      <c r="U114" s="42"/>
      <c r="V114" s="512"/>
      <c r="W114" s="464"/>
      <c r="X114" s="210" t="s">
        <v>13</v>
      </c>
      <c r="Y114" s="31" t="s">
        <v>12</v>
      </c>
      <c r="Z114" s="13">
        <f>$G$114*AA114-0.1</f>
        <v>0.34799176468639725</v>
      </c>
      <c r="AA114" s="20">
        <f t="shared" si="28"/>
        <v>67198.764702959597</v>
      </c>
      <c r="AB114" s="71"/>
      <c r="AC114" s="472"/>
      <c r="AD114" s="465"/>
      <c r="AE114" s="15" t="s">
        <v>13</v>
      </c>
      <c r="AF114" s="31" t="s">
        <v>12</v>
      </c>
      <c r="AG114" s="13">
        <f>$G$114*AH114+0.1</f>
        <v>0.10205973357432295</v>
      </c>
      <c r="AH114" s="12">
        <f t="shared" si="29"/>
        <v>308.9600361484425</v>
      </c>
      <c r="AI114" s="31"/>
      <c r="AJ114" s="488"/>
      <c r="AK114" s="465"/>
      <c r="AL114" s="15" t="s">
        <v>13</v>
      </c>
      <c r="AM114" s="31" t="s">
        <v>12</v>
      </c>
      <c r="AN114" s="13">
        <f>$G$114*AO114</f>
        <v>7.6210092769164781E-2</v>
      </c>
      <c r="AO114" s="12">
        <f t="shared" si="30"/>
        <v>11431.513915374717</v>
      </c>
      <c r="AP114" s="31"/>
      <c r="AQ114" s="4">
        <f t="shared" si="31"/>
        <v>-9.4103833336856013E-9</v>
      </c>
    </row>
    <row r="115" spans="1:43" ht="42.75" x14ac:dyDescent="0.2">
      <c r="A115" s="17"/>
      <c r="B115" s="16"/>
      <c r="C115" s="31" t="s">
        <v>11</v>
      </c>
      <c r="D115" s="31" t="s">
        <v>10</v>
      </c>
      <c r="E115" s="32">
        <v>1140</v>
      </c>
      <c r="F115" s="32">
        <f>23000+5000</f>
        <v>28000</v>
      </c>
      <c r="G115" s="18">
        <f t="shared" si="25"/>
        <v>4.0714285714285717E-2</v>
      </c>
      <c r="H115" s="17"/>
      <c r="I115" s="16"/>
      <c r="J115" s="31" t="s">
        <v>11</v>
      </c>
      <c r="K115" s="31" t="s">
        <v>10</v>
      </c>
      <c r="L115" s="13">
        <f>$G$115*M115</f>
        <v>537.7137006790399</v>
      </c>
      <c r="M115" s="12">
        <f t="shared" si="26"/>
        <v>13207.00317457291</v>
      </c>
      <c r="N115" s="31"/>
      <c r="O115" s="17"/>
      <c r="P115" s="16"/>
      <c r="Q115" s="31" t="s">
        <v>11</v>
      </c>
      <c r="R115" s="31" t="s">
        <v>10</v>
      </c>
      <c r="S115" s="13">
        <f>$G$115*T115</f>
        <v>2.3480962747281633</v>
      </c>
      <c r="T115" s="12">
        <f t="shared" si="27"/>
        <v>57.672540081042605</v>
      </c>
      <c r="U115" s="42"/>
      <c r="V115" s="324"/>
      <c r="W115" s="325"/>
      <c r="X115" s="124" t="s">
        <v>11</v>
      </c>
      <c r="Y115" s="31" t="s">
        <v>10</v>
      </c>
      <c r="Z115" s="13">
        <f>$G$115*AA115</f>
        <v>510.71061174249292</v>
      </c>
      <c r="AA115" s="20">
        <f t="shared" si="28"/>
        <v>12543.769411219124</v>
      </c>
      <c r="AB115" s="71"/>
      <c r="AC115" s="327"/>
      <c r="AD115" s="16"/>
      <c r="AE115" s="31" t="s">
        <v>11</v>
      </c>
      <c r="AF115" s="31" t="s">
        <v>10</v>
      </c>
      <c r="AG115" s="13">
        <f>$G$115*AH115</f>
        <v>2.3480962747281633</v>
      </c>
      <c r="AH115" s="12">
        <f t="shared" si="29"/>
        <v>57.672540081042605</v>
      </c>
      <c r="AI115" s="31"/>
      <c r="AJ115" s="17"/>
      <c r="AK115" s="16"/>
      <c r="AL115" s="31" t="s">
        <v>11</v>
      </c>
      <c r="AM115" s="31" t="s">
        <v>10</v>
      </c>
      <c r="AN115" s="13">
        <f>$G$115*AO115</f>
        <v>86.879505756847863</v>
      </c>
      <c r="AO115" s="12">
        <f t="shared" si="30"/>
        <v>2133.882597536614</v>
      </c>
      <c r="AP115" s="31"/>
      <c r="AQ115" s="4">
        <f t="shared" si="31"/>
        <v>-1.0727837008062124E-5</v>
      </c>
    </row>
    <row r="116" spans="1:43" s="21" customFormat="1" x14ac:dyDescent="0.2">
      <c r="A116" s="27"/>
      <c r="B116" s="26"/>
      <c r="C116" s="25" t="s">
        <v>9</v>
      </c>
      <c r="D116" s="24" t="s">
        <v>8</v>
      </c>
      <c r="E116" s="30">
        <f>3393+3637.5</f>
        <v>7030.5</v>
      </c>
      <c r="F116" s="29">
        <v>558159.99800000002</v>
      </c>
      <c r="G116" s="18">
        <f t="shared" si="25"/>
        <v>1.259585069727623E-2</v>
      </c>
      <c r="H116" s="27"/>
      <c r="I116" s="26"/>
      <c r="J116" s="25" t="s">
        <v>9</v>
      </c>
      <c r="K116" s="24" t="s">
        <v>8</v>
      </c>
      <c r="L116" s="13">
        <f>$G$116*M116</f>
        <v>3621.6848316010755</v>
      </c>
      <c r="M116" s="28">
        <f>288785.58/460*458</f>
        <v>287529.99052173912</v>
      </c>
      <c r="N116" s="22"/>
      <c r="O116" s="27"/>
      <c r="P116" s="26"/>
      <c r="Q116" s="25" t="s">
        <v>9</v>
      </c>
      <c r="R116" s="24" t="s">
        <v>8</v>
      </c>
      <c r="S116" s="13">
        <f>$G$116*T116</f>
        <v>15.815217605244872</v>
      </c>
      <c r="T116" s="28">
        <f>288785.58/460*2</f>
        <v>1255.5894782608696</v>
      </c>
      <c r="U116" s="22"/>
      <c r="V116" s="27"/>
      <c r="W116" s="562"/>
      <c r="X116" s="25" t="s">
        <v>9</v>
      </c>
      <c r="Y116" s="563" t="s">
        <v>8</v>
      </c>
      <c r="Z116" s="13">
        <f>$G$116*AA116</f>
        <v>2888.3659286764</v>
      </c>
      <c r="AA116" s="23">
        <f>269374.42/SUM($J$2:$L$2)*J2</f>
        <v>229310.90547945205</v>
      </c>
      <c r="AB116" s="563"/>
      <c r="AC116" s="217"/>
      <c r="AD116" s="26"/>
      <c r="AE116" s="25" t="s">
        <v>9</v>
      </c>
      <c r="AF116" s="24" t="s">
        <v>8</v>
      </c>
      <c r="AG116" s="13">
        <f>$G$116*AH116</f>
        <v>13.279843350236321</v>
      </c>
      <c r="AH116" s="23">
        <f>269374.42/SUM($J$2:$L$2)*K2</f>
        <v>1054.3030136986301</v>
      </c>
      <c r="AI116" s="22"/>
      <c r="AJ116" s="27"/>
      <c r="AK116" s="26"/>
      <c r="AL116" s="25" t="s">
        <v>9</v>
      </c>
      <c r="AM116" s="24" t="s">
        <v>8</v>
      </c>
      <c r="AN116" s="13">
        <f>$G$116*AO116</f>
        <v>491.35420395874388</v>
      </c>
      <c r="AO116" s="23">
        <f>269374.42/SUM($J$2:$L$2)*L2</f>
        <v>39009.211506849315</v>
      </c>
      <c r="AP116" s="22"/>
      <c r="AQ116" s="4">
        <f t="shared" si="31"/>
        <v>-2.5191700672166917E-5</v>
      </c>
    </row>
    <row r="117" spans="1:43" ht="54" x14ac:dyDescent="0.2">
      <c r="A117" s="17"/>
      <c r="B117" s="16"/>
      <c r="C117" s="15" t="s">
        <v>7</v>
      </c>
      <c r="D117" s="14" t="s">
        <v>3</v>
      </c>
      <c r="E117" s="19">
        <v>18</v>
      </c>
      <c r="F117" s="19">
        <v>11730</v>
      </c>
      <c r="G117" s="18">
        <f t="shared" si="25"/>
        <v>1.5345268542199489E-3</v>
      </c>
      <c r="H117" s="17"/>
      <c r="I117" s="16"/>
      <c r="J117" s="15" t="s">
        <v>7</v>
      </c>
      <c r="K117" s="14" t="s">
        <v>3</v>
      </c>
      <c r="L117" s="13">
        <f>$G$117*M117-0.1</f>
        <v>8.3902163265111582</v>
      </c>
      <c r="M117" s="12">
        <f>$N$126/($F$121-558160)*F117</f>
        <v>5532.7909727764372</v>
      </c>
      <c r="N117" s="11"/>
      <c r="O117" s="17"/>
      <c r="P117" s="16"/>
      <c r="Q117" s="15" t="s">
        <v>7</v>
      </c>
      <c r="R117" s="14" t="s">
        <v>3</v>
      </c>
      <c r="S117" s="13">
        <f>$G$117*T117+0.1</f>
        <v>0.13707520433781312</v>
      </c>
      <c r="T117" s="12">
        <f>$U$126/($F$121-558160)*F117</f>
        <v>24.160674826808204</v>
      </c>
      <c r="U117" s="11"/>
      <c r="V117" s="324"/>
      <c r="W117" s="325"/>
      <c r="X117" s="210" t="s">
        <v>7</v>
      </c>
      <c r="Y117" s="14" t="s">
        <v>3</v>
      </c>
      <c r="Z117" s="13">
        <f>$G$117*AA117-0.1</f>
        <v>7.9638517643551516</v>
      </c>
      <c r="AA117" s="20">
        <f>$AB$126/($F$121-558160)*F117</f>
        <v>5254.9433997714405</v>
      </c>
      <c r="AB117" s="219"/>
      <c r="AC117" s="327"/>
      <c r="AD117" s="16"/>
      <c r="AE117" s="15" t="s">
        <v>7</v>
      </c>
      <c r="AF117" s="14" t="s">
        <v>3</v>
      </c>
      <c r="AG117" s="13">
        <f>$G$117*AH117+0.13</f>
        <v>0.16707520433781312</v>
      </c>
      <c r="AH117" s="12">
        <f>$AI$126/($F$121-558160)*F117</f>
        <v>24.160674826808204</v>
      </c>
      <c r="AI117" s="11"/>
      <c r="AJ117" s="17"/>
      <c r="AK117" s="16"/>
      <c r="AL117" s="15" t="s">
        <v>7</v>
      </c>
      <c r="AM117" s="14" t="s">
        <v>3</v>
      </c>
      <c r="AN117" s="13">
        <f>$G$117*AO117</f>
        <v>1.3717816698449661</v>
      </c>
      <c r="AO117" s="12">
        <f>$AP$125/($F$121-558160)*F117</f>
        <v>893.94438818230287</v>
      </c>
      <c r="AP117" s="11"/>
      <c r="AQ117" s="4">
        <f t="shared" si="31"/>
        <v>-3.0000169386902753E-2</v>
      </c>
    </row>
    <row r="118" spans="1:43" ht="27" x14ac:dyDescent="0.2">
      <c r="A118" s="17"/>
      <c r="B118" s="16"/>
      <c r="C118" s="15" t="s">
        <v>6</v>
      </c>
      <c r="D118" s="14" t="s">
        <v>3</v>
      </c>
      <c r="E118" s="19">
        <v>31</v>
      </c>
      <c r="F118" s="19">
        <v>72300</v>
      </c>
      <c r="G118" s="18">
        <f t="shared" si="25"/>
        <v>4.2876901798063625E-4</v>
      </c>
      <c r="H118" s="17"/>
      <c r="I118" s="16"/>
      <c r="J118" s="15" t="s">
        <v>6</v>
      </c>
      <c r="K118" s="14" t="s">
        <v>3</v>
      </c>
      <c r="L118" s="13">
        <f>$G$118*M118</f>
        <v>14.622039228991435</v>
      </c>
      <c r="M118" s="12">
        <f>$N$126/($F$121-558160)*F118</f>
        <v>34102.368911486476</v>
      </c>
      <c r="N118" s="11"/>
      <c r="O118" s="17"/>
      <c r="P118" s="16"/>
      <c r="Q118" s="15" t="s">
        <v>6</v>
      </c>
      <c r="R118" s="14" t="s">
        <v>3</v>
      </c>
      <c r="S118" s="13">
        <f>$G$118*T118</f>
        <v>6.3851740804011459E-2</v>
      </c>
      <c r="T118" s="12">
        <f>$U$126/($F$121-558160)*F118</f>
        <v>148.91873742354929</v>
      </c>
      <c r="U118" s="11"/>
      <c r="V118" s="324"/>
      <c r="W118" s="325"/>
      <c r="X118" s="210" t="s">
        <v>6</v>
      </c>
      <c r="Y118" s="14" t="s">
        <v>3</v>
      </c>
      <c r="Z118" s="13">
        <f>$G$118*AA118</f>
        <v>13.887744705278317</v>
      </c>
      <c r="AA118" s="20">
        <f>$AB$126/($F$121-558160)*F118</f>
        <v>32389.804586826525</v>
      </c>
      <c r="AB118" s="219"/>
      <c r="AC118" s="327"/>
      <c r="AD118" s="16"/>
      <c r="AE118" s="15" t="s">
        <v>6</v>
      </c>
      <c r="AF118" s="14" t="s">
        <v>3</v>
      </c>
      <c r="AG118" s="13">
        <f>$G$118*AH118</f>
        <v>6.3851740804011459E-2</v>
      </c>
      <c r="AH118" s="12">
        <f>$AI$126/($F$121-558160)*F118</f>
        <v>148.91873742354929</v>
      </c>
      <c r="AI118" s="11"/>
      <c r="AJ118" s="17"/>
      <c r="AK118" s="16"/>
      <c r="AL118" s="15" t="s">
        <v>6</v>
      </c>
      <c r="AM118" s="14" t="s">
        <v>3</v>
      </c>
      <c r="AN118" s="13">
        <f>$G$118*AO118</f>
        <v>2.3625128758441081</v>
      </c>
      <c r="AO118" s="12">
        <f>$AP$125/($F$121-558160)*F118</f>
        <v>5509.9897072106132</v>
      </c>
      <c r="AP118" s="11"/>
      <c r="AQ118" s="4">
        <f t="shared" si="31"/>
        <v>-2.9172188131809662E-7</v>
      </c>
    </row>
    <row r="119" spans="1:43" ht="27" x14ac:dyDescent="0.2">
      <c r="A119" s="17"/>
      <c r="B119" s="16"/>
      <c r="C119" s="15" t="s">
        <v>5</v>
      </c>
      <c r="D119" s="14" t="s">
        <v>3</v>
      </c>
      <c r="E119" s="19">
        <v>13</v>
      </c>
      <c r="F119" s="19">
        <v>55500.000000000007</v>
      </c>
      <c r="G119" s="18">
        <f t="shared" si="25"/>
        <v>2.3423423423423422E-4</v>
      </c>
      <c r="H119" s="17"/>
      <c r="I119" s="16"/>
      <c r="J119" s="15" t="s">
        <v>5</v>
      </c>
      <c r="K119" s="14" t="s">
        <v>3</v>
      </c>
      <c r="L119" s="13">
        <f>$G$119*M119-0.1</f>
        <v>6.0318229024802807</v>
      </c>
      <c r="M119" s="12">
        <f>$N$126/($F$121-558160)*F119</f>
        <v>26178.167006742737</v>
      </c>
      <c r="N119" s="11"/>
      <c r="O119" s="17"/>
      <c r="P119" s="16"/>
      <c r="Q119" s="15" t="s">
        <v>5</v>
      </c>
      <c r="R119" s="14" t="s">
        <v>3</v>
      </c>
      <c r="S119" s="13">
        <f>$G$119*T119+0.1</f>
        <v>0.12677653646619835</v>
      </c>
      <c r="T119" s="12">
        <f>$U$126/($F$121-558160)*F119</f>
        <v>114.31521337492374</v>
      </c>
      <c r="U119" s="11"/>
      <c r="V119" s="324"/>
      <c r="W119" s="325"/>
      <c r="X119" s="210" t="s">
        <v>5</v>
      </c>
      <c r="Y119" s="14" t="s">
        <v>3</v>
      </c>
      <c r="Z119" s="13">
        <f>$G$119*AA119-0.1</f>
        <v>5.7238929409231654</v>
      </c>
      <c r="AA119" s="20">
        <f>$AB$126/($F$121-558160)*F119</f>
        <v>24863.542940095052</v>
      </c>
      <c r="AB119" s="219"/>
      <c r="AC119" s="327"/>
      <c r="AD119" s="16"/>
      <c r="AE119" s="15" t="s">
        <v>5</v>
      </c>
      <c r="AF119" s="14" t="s">
        <v>3</v>
      </c>
      <c r="AG119" s="13">
        <f>$G$119*AH119+0.1</f>
        <v>0.12677653646619835</v>
      </c>
      <c r="AH119" s="12">
        <f>$AI$126/($F$121-558160)*F119</f>
        <v>114.31521337492374</v>
      </c>
      <c r="AI119" s="11"/>
      <c r="AJ119" s="17"/>
      <c r="AK119" s="16"/>
      <c r="AL119" s="15" t="s">
        <v>5</v>
      </c>
      <c r="AM119" s="14" t="s">
        <v>3</v>
      </c>
      <c r="AN119" s="13">
        <f>$G$119*AO119</f>
        <v>0.99073120599914211</v>
      </c>
      <c r="AO119" s="12">
        <f>$AP$125/($F$121-558160)*F119</f>
        <v>4229.6601486886457</v>
      </c>
      <c r="AP119" s="11"/>
      <c r="AQ119" s="4">
        <f t="shared" si="31"/>
        <v>-1.2233498469793602E-7</v>
      </c>
    </row>
    <row r="120" spans="1:43" ht="27.75" thickBot="1" x14ac:dyDescent="0.25">
      <c r="A120" s="17"/>
      <c r="B120" s="16"/>
      <c r="C120" s="15" t="s">
        <v>4</v>
      </c>
      <c r="D120" s="14" t="s">
        <v>3</v>
      </c>
      <c r="E120" s="19">
        <v>30</v>
      </c>
      <c r="F120" s="19">
        <v>22200</v>
      </c>
      <c r="G120" s="18">
        <f t="shared" si="25"/>
        <v>1.3513513513513514E-3</v>
      </c>
      <c r="H120" s="17"/>
      <c r="I120" s="16"/>
      <c r="J120" s="15" t="s">
        <v>4</v>
      </c>
      <c r="K120" s="14" t="s">
        <v>3</v>
      </c>
      <c r="L120" s="13">
        <f>$G$120*M120</f>
        <v>14.150360544185261</v>
      </c>
      <c r="M120" s="12">
        <f>$N$126/($F$121-558160)*F120</f>
        <v>10471.266802697093</v>
      </c>
      <c r="N120" s="11"/>
      <c r="O120" s="17"/>
      <c r="P120" s="16"/>
      <c r="Q120" s="15" t="s">
        <v>4</v>
      </c>
      <c r="R120" s="14" t="s">
        <v>3</v>
      </c>
      <c r="S120" s="13">
        <f>$G$120*T120</f>
        <v>6.1792007229688507E-2</v>
      </c>
      <c r="T120" s="12">
        <f>$U$126/($F$121-558160)*F120</f>
        <v>45.726085349969495</v>
      </c>
      <c r="U120" s="11"/>
      <c r="V120" s="10"/>
      <c r="W120" s="326"/>
      <c r="X120" s="359" t="s">
        <v>4</v>
      </c>
      <c r="Y120" s="224" t="s">
        <v>3</v>
      </c>
      <c r="Z120" s="242">
        <f>$G$120*AA120</f>
        <v>13.439752940591919</v>
      </c>
      <c r="AA120" s="373">
        <f>$AB$126/($F$121-558160)*F120</f>
        <v>9945.4171760380195</v>
      </c>
      <c r="AB120" s="227"/>
      <c r="AC120" s="327"/>
      <c r="AD120" s="16"/>
      <c r="AE120" s="15" t="s">
        <v>4</v>
      </c>
      <c r="AF120" s="14" t="s">
        <v>3</v>
      </c>
      <c r="AG120" s="13">
        <f>$G$120*AH120</f>
        <v>6.1792007229688507E-2</v>
      </c>
      <c r="AH120" s="3">
        <f>$AI$126/($F$121-558160)*F120</f>
        <v>45.726085349969495</v>
      </c>
      <c r="AI120" s="11"/>
      <c r="AJ120" s="17"/>
      <c r="AK120" s="16"/>
      <c r="AL120" s="15" t="s">
        <v>4</v>
      </c>
      <c r="AM120" s="14" t="s">
        <v>3</v>
      </c>
      <c r="AN120" s="13">
        <f>$G$120*AO120</f>
        <v>2.2863027830749436</v>
      </c>
      <c r="AO120" s="12">
        <f>$AP$125/($F$121-558160)*F120</f>
        <v>1691.8640594754581</v>
      </c>
      <c r="AP120" s="11"/>
      <c r="AQ120" s="4">
        <f t="shared" si="31"/>
        <v>-2.8231150217550294E-7</v>
      </c>
    </row>
    <row r="121" spans="1:43" ht="15" hidden="1" thickBot="1" x14ac:dyDescent="0.25">
      <c r="A121" s="10"/>
      <c r="B121" s="9"/>
      <c r="C121" s="8" t="s">
        <v>2</v>
      </c>
      <c r="D121" s="7"/>
      <c r="E121" s="6"/>
      <c r="F121" s="6">
        <f>SUM(F93:F120)</f>
        <v>2434926.999475</v>
      </c>
      <c r="G121" s="5">
        <f>SUM(G113:G114)</f>
        <v>5.5066666666666667E-3</v>
      </c>
      <c r="H121" s="10"/>
      <c r="I121" s="9"/>
      <c r="J121" s="8" t="s">
        <v>2</v>
      </c>
      <c r="K121" s="7"/>
      <c r="L121" s="6"/>
      <c r="M121" s="6">
        <f>SUM(M93:M120)</f>
        <v>1172760.9814650966</v>
      </c>
      <c r="N121" s="5">
        <f>SUM(N113:N114)</f>
        <v>0</v>
      </c>
      <c r="O121" s="10"/>
      <c r="P121" s="9"/>
      <c r="Q121" s="8" t="s">
        <v>2</v>
      </c>
      <c r="R121" s="7"/>
      <c r="S121" s="6"/>
      <c r="T121" s="6">
        <f>SUM(T93:T120)</f>
        <v>5121.2294823803377</v>
      </c>
      <c r="U121" s="5">
        <f>SUM(U113:U114)</f>
        <v>0</v>
      </c>
      <c r="V121" s="10"/>
      <c r="W121" s="10"/>
      <c r="X121" s="372" t="s">
        <v>2</v>
      </c>
      <c r="Y121" s="301"/>
      <c r="Z121" s="302"/>
      <c r="AA121" s="302">
        <f>SUM(AA93:AA120)</f>
        <v>1070087.0663754356</v>
      </c>
      <c r="AB121" s="303">
        <f>SUM(AB113:AB114)</f>
        <v>0</v>
      </c>
      <c r="AC121" s="10"/>
      <c r="AD121" s="9"/>
      <c r="AE121" s="8" t="s">
        <v>2</v>
      </c>
      <c r="AF121" s="7"/>
      <c r="AG121" s="6"/>
      <c r="AH121" s="6">
        <f>SUM(AH93:AH120)</f>
        <v>4919.9430178180983</v>
      </c>
      <c r="AI121" s="5">
        <f>SUM(AI113:AI114)</f>
        <v>0</v>
      </c>
      <c r="AJ121" s="10"/>
      <c r="AK121" s="9"/>
      <c r="AL121" s="8" t="s">
        <v>2</v>
      </c>
      <c r="AM121" s="7"/>
      <c r="AN121" s="6"/>
      <c r="AO121" s="6">
        <f>SUM(AO93:AO120)</f>
        <v>182037.79879536631</v>
      </c>
      <c r="AP121" s="5">
        <f>SUM(AP113:AP114)</f>
        <v>0</v>
      </c>
      <c r="AQ121" s="4">
        <f t="shared" si="31"/>
        <v>0</v>
      </c>
    </row>
    <row r="122" spans="1:43" ht="15" hidden="1" thickBot="1" x14ac:dyDescent="0.25">
      <c r="A122" s="456" t="s">
        <v>1</v>
      </c>
      <c r="B122" s="457"/>
      <c r="C122" s="458"/>
      <c r="D122" s="458"/>
      <c r="E122" s="459"/>
      <c r="F122" s="452">
        <f>F13+F29+F42+F54+F67+F91+F121+F59</f>
        <v>79419999.003173232</v>
      </c>
      <c r="G122" s="454"/>
      <c r="H122" s="456" t="s">
        <v>1</v>
      </c>
      <c r="I122" s="457"/>
      <c r="J122" s="458"/>
      <c r="K122" s="458"/>
      <c r="L122" s="459"/>
      <c r="M122" s="452">
        <f>M13+M29+M42+M54+M67+M91+M121+M59</f>
        <v>37669664.163633719</v>
      </c>
      <c r="N122" s="454"/>
      <c r="O122" s="456" t="s">
        <v>1</v>
      </c>
      <c r="P122" s="457"/>
      <c r="Q122" s="458"/>
      <c r="R122" s="458"/>
      <c r="S122" s="459"/>
      <c r="T122" s="452">
        <f>T13+T29+T42+T54+T67+T91+T121+T59</f>
        <v>164496.35254861886</v>
      </c>
      <c r="U122" s="454"/>
      <c r="V122" s="456" t="s">
        <v>1</v>
      </c>
      <c r="W122" s="457"/>
      <c r="X122" s="458"/>
      <c r="Y122" s="458"/>
      <c r="Z122" s="459"/>
      <c r="AA122" s="452">
        <f>AA13+AA29+AA42+AA54+AA67+AA91+AA121+AA59</f>
        <v>35400860.563696675</v>
      </c>
      <c r="AB122" s="454"/>
      <c r="AC122" s="456" t="s">
        <v>1</v>
      </c>
      <c r="AD122" s="457"/>
      <c r="AE122" s="458"/>
      <c r="AF122" s="458"/>
      <c r="AG122" s="459"/>
      <c r="AH122" s="452">
        <f>AH13+AH29+AH42+AH54+AH67+AH91+AH121+AH59</f>
        <v>162762.57978711117</v>
      </c>
      <c r="AI122" s="454"/>
      <c r="AJ122" s="456" t="s">
        <v>1</v>
      </c>
      <c r="AK122" s="457"/>
      <c r="AL122" s="458"/>
      <c r="AM122" s="458"/>
      <c r="AN122" s="459"/>
      <c r="AO122" s="452">
        <f>AO13+AO29+AO42+AO54+AO67+AO91+AO121+AO59</f>
        <v>6022215.3592592096</v>
      </c>
      <c r="AP122" s="454"/>
      <c r="AQ122" s="4">
        <f t="shared" si="31"/>
        <v>0</v>
      </c>
    </row>
    <row r="123" spans="1:43" ht="15" hidden="1" thickBot="1" x14ac:dyDescent="0.25">
      <c r="A123" s="461" t="s">
        <v>0</v>
      </c>
      <c r="B123" s="462"/>
      <c r="C123" s="462"/>
      <c r="D123" s="462"/>
      <c r="E123" s="460"/>
      <c r="F123" s="453"/>
      <c r="G123" s="455"/>
      <c r="H123" s="461" t="s">
        <v>0</v>
      </c>
      <c r="I123" s="462"/>
      <c r="J123" s="462"/>
      <c r="K123" s="462"/>
      <c r="L123" s="460"/>
      <c r="M123" s="453"/>
      <c r="N123" s="455"/>
      <c r="O123" s="461" t="s">
        <v>0</v>
      </c>
      <c r="P123" s="462"/>
      <c r="Q123" s="462"/>
      <c r="R123" s="462"/>
      <c r="S123" s="460"/>
      <c r="T123" s="453"/>
      <c r="U123" s="455"/>
      <c r="V123" s="461" t="s">
        <v>0</v>
      </c>
      <c r="W123" s="462"/>
      <c r="X123" s="462"/>
      <c r="Y123" s="462"/>
      <c r="Z123" s="460"/>
      <c r="AA123" s="453"/>
      <c r="AB123" s="455"/>
      <c r="AC123" s="461" t="s">
        <v>0</v>
      </c>
      <c r="AD123" s="462"/>
      <c r="AE123" s="462"/>
      <c r="AF123" s="462"/>
      <c r="AG123" s="460"/>
      <c r="AH123" s="453"/>
      <c r="AI123" s="455"/>
      <c r="AJ123" s="461" t="s">
        <v>0</v>
      </c>
      <c r="AK123" s="462"/>
      <c r="AL123" s="462"/>
      <c r="AM123" s="462"/>
      <c r="AN123" s="460"/>
      <c r="AO123" s="453"/>
      <c r="AP123" s="455"/>
      <c r="AQ123" s="4">
        <f t="shared" si="31"/>
        <v>0</v>
      </c>
    </row>
    <row r="125" spans="1:43" x14ac:dyDescent="0.2">
      <c r="F125" s="2">
        <f>F121-F116</f>
        <v>1876767.0014749998</v>
      </c>
      <c r="M125" s="3">
        <v>37669664.158881456</v>
      </c>
      <c r="T125" s="3">
        <v>164496.35003878365</v>
      </c>
      <c r="AA125" s="3">
        <v>35400860.55780752</v>
      </c>
      <c r="AH125" s="3">
        <v>162762.57727727597</v>
      </c>
      <c r="AO125" s="3">
        <v>6022215.3592592105</v>
      </c>
      <c r="AP125" s="3">
        <f>($F$121-$F$116)/$G$2*L2</f>
        <v>143028.58713609679</v>
      </c>
    </row>
    <row r="126" spans="1:43" x14ac:dyDescent="0.2">
      <c r="M126" s="2">
        <f>M125-M122</f>
        <v>-4.7522634267807007E-3</v>
      </c>
      <c r="N126" s="1">
        <v>885230.99</v>
      </c>
      <c r="T126" s="2">
        <f>T125-T122</f>
        <v>-2.5098352052737027E-3</v>
      </c>
      <c r="U126" s="1">
        <v>3865.64</v>
      </c>
      <c r="AA126" s="2">
        <f>AA125-AA122</f>
        <v>-5.8891549706459045E-3</v>
      </c>
      <c r="AB126" s="1">
        <v>840776.16</v>
      </c>
      <c r="AH126" s="2">
        <f>AH125-AH122</f>
        <v>-2.5098352052737027E-3</v>
      </c>
      <c r="AI126" s="1">
        <v>3865.64</v>
      </c>
      <c r="AO126" s="2">
        <f>AO125-AO122</f>
        <v>0</v>
      </c>
    </row>
    <row r="127" spans="1:43" x14ac:dyDescent="0.2">
      <c r="F127" s="3">
        <v>79419999</v>
      </c>
    </row>
    <row r="128" spans="1:43" x14ac:dyDescent="0.2">
      <c r="F128" s="2">
        <f>F127-F122</f>
        <v>-3.1732320785522461E-3</v>
      </c>
      <c r="M128" s="2"/>
    </row>
  </sheetData>
  <mergeCells count="116">
    <mergeCell ref="Y6:AB6"/>
    <mergeCell ref="Y4:AB4"/>
    <mergeCell ref="Q14:U14"/>
    <mergeCell ref="X14:AB14"/>
    <mergeCell ref="A10:A114"/>
    <mergeCell ref="B10:B32"/>
    <mergeCell ref="C10:G10"/>
    <mergeCell ref="H10:H114"/>
    <mergeCell ref="I10:I32"/>
    <mergeCell ref="J10:N10"/>
    <mergeCell ref="C11:G11"/>
    <mergeCell ref="J11:N11"/>
    <mergeCell ref="C14:G14"/>
    <mergeCell ref="J14:N14"/>
    <mergeCell ref="C30:G30"/>
    <mergeCell ref="J30:N30"/>
    <mergeCell ref="Q30:U30"/>
    <mergeCell ref="X30:AB30"/>
    <mergeCell ref="O10:O114"/>
    <mergeCell ref="P10:P32"/>
    <mergeCell ref="Q10:U10"/>
    <mergeCell ref="V10:V114"/>
    <mergeCell ref="W10:W32"/>
    <mergeCell ref="X10:AB10"/>
    <mergeCell ref="Q11:U11"/>
    <mergeCell ref="X11:AB11"/>
    <mergeCell ref="AE30:AI30"/>
    <mergeCell ref="AL30:AP30"/>
    <mergeCell ref="AC10:AC114"/>
    <mergeCell ref="AD10:AD32"/>
    <mergeCell ref="AE10:AI10"/>
    <mergeCell ref="AJ10:AJ114"/>
    <mergeCell ref="AK10:AK32"/>
    <mergeCell ref="AL10:AP10"/>
    <mergeCell ref="AE11:AI11"/>
    <mergeCell ref="AL11:AP11"/>
    <mergeCell ref="AE14:AI14"/>
    <mergeCell ref="AL14:AP14"/>
    <mergeCell ref="AL34:AP34"/>
    <mergeCell ref="AL55:AP55"/>
    <mergeCell ref="X60:AB60"/>
    <mergeCell ref="AE60:AI60"/>
    <mergeCell ref="AL60:AP60"/>
    <mergeCell ref="X43:AB43"/>
    <mergeCell ref="AE43:AI43"/>
    <mergeCell ref="AL43:AP43"/>
    <mergeCell ref="X55:AB55"/>
    <mergeCell ref="AE55:AI55"/>
    <mergeCell ref="B33:B114"/>
    <mergeCell ref="C33:G33"/>
    <mergeCell ref="I33:I114"/>
    <mergeCell ref="J33:N33"/>
    <mergeCell ref="P33:P114"/>
    <mergeCell ref="Q33:U33"/>
    <mergeCell ref="C34:G34"/>
    <mergeCell ref="J34:N34"/>
    <mergeCell ref="Q34:U34"/>
    <mergeCell ref="C43:G43"/>
    <mergeCell ref="C60:G60"/>
    <mergeCell ref="J60:N60"/>
    <mergeCell ref="Q60:U60"/>
    <mergeCell ref="J43:N43"/>
    <mergeCell ref="Q43:U43"/>
    <mergeCell ref="C55:G55"/>
    <mergeCell ref="J55:N55"/>
    <mergeCell ref="Q55:U55"/>
    <mergeCell ref="W33:W114"/>
    <mergeCell ref="X33:AB33"/>
    <mergeCell ref="AD33:AD114"/>
    <mergeCell ref="AE33:AI33"/>
    <mergeCell ref="AK33:AK114"/>
    <mergeCell ref="AL33:AP33"/>
    <mergeCell ref="X34:AB34"/>
    <mergeCell ref="AE34:AI34"/>
    <mergeCell ref="C92:G92"/>
    <mergeCell ref="J92:N92"/>
    <mergeCell ref="Q92:U92"/>
    <mergeCell ref="X92:AB92"/>
    <mergeCell ref="AE92:AI92"/>
    <mergeCell ref="AL92:AP92"/>
    <mergeCell ref="C68:G68"/>
    <mergeCell ref="J68:N68"/>
    <mergeCell ref="Q68:U68"/>
    <mergeCell ref="X68:AB68"/>
    <mergeCell ref="AE68:AI68"/>
    <mergeCell ref="AL68:AP68"/>
    <mergeCell ref="M122:M123"/>
    <mergeCell ref="N122:N123"/>
    <mergeCell ref="O122:R122"/>
    <mergeCell ref="S122:S123"/>
    <mergeCell ref="T122:T123"/>
    <mergeCell ref="U122:U123"/>
    <mergeCell ref="O123:R123"/>
    <mergeCell ref="A122:D122"/>
    <mergeCell ref="E122:E123"/>
    <mergeCell ref="F122:F123"/>
    <mergeCell ref="G122:G123"/>
    <mergeCell ref="H122:K122"/>
    <mergeCell ref="L122:L123"/>
    <mergeCell ref="A123:D123"/>
    <mergeCell ref="H123:K123"/>
    <mergeCell ref="AH122:AH123"/>
    <mergeCell ref="AI122:AI123"/>
    <mergeCell ref="AJ122:AM122"/>
    <mergeCell ref="AN122:AN123"/>
    <mergeCell ref="AO122:AO123"/>
    <mergeCell ref="AP122:AP123"/>
    <mergeCell ref="AJ123:AM123"/>
    <mergeCell ref="V122:Y122"/>
    <mergeCell ref="Z122:Z123"/>
    <mergeCell ref="AA122:AA123"/>
    <mergeCell ref="AB122:AB123"/>
    <mergeCell ref="AC122:AF122"/>
    <mergeCell ref="AG122:AG123"/>
    <mergeCell ref="V123:Y123"/>
    <mergeCell ref="AC123:AF123"/>
  </mergeCells>
  <pageMargins left="0.78740157480314965" right="0.31496062992125984" top="0.35433070866141736" bottom="0.35433070866141736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6"/>
  <sheetViews>
    <sheetView view="pageBreakPreview" topLeftCell="AC1" zoomScaleNormal="100" zoomScaleSheetLayoutView="100" workbookViewId="0">
      <pane ySplit="8" topLeftCell="A111" activePane="bottomLeft" state="frozen"/>
      <selection activeCell="B1" sqref="B1"/>
      <selection pane="bottomLeft" activeCell="AE114" sqref="AE114:AI114"/>
    </sheetView>
  </sheetViews>
  <sheetFormatPr defaultRowHeight="14.25" outlineLevelRow="1" outlineLevelCol="1" x14ac:dyDescent="0.2"/>
  <cols>
    <col min="1" max="1" width="20.5703125" style="1" hidden="1" customWidth="1" outlineLevel="1"/>
    <col min="2" max="2" width="9.85546875" style="1" hidden="1" customWidth="1" outlineLevel="1"/>
    <col min="3" max="3" width="26.140625" style="1" hidden="1" customWidth="1" outlineLevel="1"/>
    <col min="4" max="4" width="21.85546875" style="1" hidden="1" customWidth="1" outlineLevel="1"/>
    <col min="5" max="6" width="18.5703125" style="1" hidden="1" customWidth="1" outlineLevel="1"/>
    <col min="7" max="7" width="21.5703125" style="1" hidden="1" customWidth="1" outlineLevel="1"/>
    <col min="8" max="8" width="20.5703125" style="1" hidden="1" customWidth="1"/>
    <col min="9" max="9" width="9.85546875" style="1" hidden="1" customWidth="1"/>
    <col min="10" max="10" width="26.140625" style="1" hidden="1" customWidth="1"/>
    <col min="11" max="11" width="21.85546875" style="1" hidden="1" customWidth="1"/>
    <col min="12" max="13" width="18.5703125" style="1" hidden="1" customWidth="1"/>
    <col min="14" max="14" width="21.5703125" style="1" hidden="1" customWidth="1"/>
    <col min="15" max="15" width="17.7109375" style="1" hidden="1" customWidth="1"/>
    <col min="16" max="16" width="17.28515625" style="1" hidden="1" customWidth="1"/>
    <col min="17" max="17" width="29.140625" style="1" hidden="1" customWidth="1"/>
    <col min="18" max="20" width="21.5703125" style="1" hidden="1" customWidth="1"/>
    <col min="21" max="21" width="15.7109375" style="1" hidden="1" customWidth="1"/>
    <col min="22" max="22" width="18.5703125" style="1" hidden="1" customWidth="1"/>
    <col min="23" max="23" width="15.7109375" style="1" hidden="1" customWidth="1"/>
    <col min="24" max="24" width="25.28515625" style="1" hidden="1" customWidth="1"/>
    <col min="25" max="25" width="19" style="1" hidden="1" customWidth="1"/>
    <col min="26" max="26" width="15.7109375" style="1" hidden="1" customWidth="1"/>
    <col min="27" max="27" width="23" style="1" hidden="1" customWidth="1"/>
    <col min="28" max="28" width="13.140625" style="1" hidden="1" customWidth="1"/>
    <col min="29" max="29" width="19.5703125" style="1" customWidth="1"/>
    <col min="30" max="30" width="16.85546875" style="1" customWidth="1"/>
    <col min="31" max="31" width="25" style="1" customWidth="1"/>
    <col min="32" max="32" width="20.140625" style="1" customWidth="1"/>
    <col min="33" max="33" width="17.7109375" style="1" customWidth="1"/>
    <col min="34" max="34" width="22.42578125" style="1" hidden="1" customWidth="1"/>
    <col min="35" max="35" width="18.28515625" style="1" customWidth="1"/>
    <col min="36" max="36" width="15.7109375" style="1" hidden="1" customWidth="1"/>
    <col min="37" max="37" width="16" style="1" hidden="1" customWidth="1"/>
    <col min="38" max="38" width="29.28515625" style="1" hidden="1" customWidth="1"/>
    <col min="39" max="40" width="16" style="1" hidden="1" customWidth="1"/>
    <col min="41" max="41" width="21" style="1" hidden="1" customWidth="1"/>
    <col min="42" max="42" width="19.85546875" style="1" hidden="1" customWidth="1"/>
    <col min="43" max="43" width="5.28515625" style="1" customWidth="1"/>
    <col min="44" max="44" width="3" style="1" customWidth="1"/>
    <col min="45" max="16384" width="9.140625" style="1"/>
  </cols>
  <sheetData>
    <row r="1" spans="1:43" ht="45" hidden="1" outlineLevel="1" x14ac:dyDescent="0.25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141"/>
      <c r="S1" s="141"/>
    </row>
    <row r="2" spans="1:43" ht="15" hidden="1" outlineLevel="1" x14ac:dyDescent="0.25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SUM(AR2:AV2)</f>
        <v>0</v>
      </c>
      <c r="O2" s="141"/>
      <c r="P2" s="141"/>
      <c r="Q2" s="141"/>
      <c r="R2" s="141"/>
      <c r="S2" s="141"/>
    </row>
    <row r="3" spans="1:43" ht="15" outlineLevel="1" x14ac:dyDescent="0.25">
      <c r="G3" s="141"/>
      <c r="H3" s="141"/>
      <c r="I3" s="141"/>
      <c r="J3" s="141"/>
      <c r="K3" s="141"/>
      <c r="L3" s="141"/>
      <c r="N3" s="141"/>
      <c r="O3" s="141"/>
      <c r="P3" s="141"/>
      <c r="Q3" s="141"/>
      <c r="R3" s="141"/>
      <c r="S3" s="141"/>
      <c r="AF3" s="357" t="s">
        <v>173</v>
      </c>
      <c r="AG3" s="357"/>
      <c r="AH3" s="357"/>
      <c r="AI3" s="357"/>
    </row>
    <row r="4" spans="1:43" ht="15" outlineLevel="1" x14ac:dyDescent="0.25">
      <c r="G4" s="141"/>
      <c r="H4" s="141"/>
      <c r="I4" s="141"/>
      <c r="J4" s="141"/>
      <c r="K4" s="141"/>
      <c r="L4" s="141"/>
      <c r="N4" s="141"/>
      <c r="O4" s="141"/>
      <c r="P4" s="141"/>
      <c r="Q4" s="141"/>
      <c r="R4" s="141"/>
      <c r="S4" s="141"/>
      <c r="AF4" s="357" t="s">
        <v>166</v>
      </c>
      <c r="AG4" s="357"/>
      <c r="AH4" s="357"/>
      <c r="AI4" s="357"/>
    </row>
    <row r="5" spans="1:43" ht="16.5" customHeight="1" outlineLevel="1" x14ac:dyDescent="0.25">
      <c r="G5" s="141"/>
      <c r="H5" s="141"/>
      <c r="I5" s="141"/>
      <c r="J5" s="141"/>
      <c r="K5" s="141"/>
      <c r="L5" s="141"/>
      <c r="N5" s="141"/>
      <c r="O5" s="141"/>
      <c r="P5" s="141"/>
      <c r="Q5" s="141"/>
      <c r="R5" s="141"/>
      <c r="S5" s="141"/>
      <c r="AF5" s="357" t="s">
        <v>167</v>
      </c>
      <c r="AG5" s="357"/>
      <c r="AH5" s="357"/>
      <c r="AI5" s="357"/>
    </row>
    <row r="6" spans="1:43" ht="36.75" customHeight="1" outlineLevel="1" x14ac:dyDescent="0.25">
      <c r="G6" s="141"/>
      <c r="H6" s="141"/>
      <c r="I6" s="141"/>
      <c r="J6" s="141"/>
      <c r="K6" s="141"/>
      <c r="L6" s="141"/>
      <c r="N6" s="141"/>
      <c r="O6" s="141"/>
      <c r="P6" s="141"/>
      <c r="Q6" s="141"/>
      <c r="R6" s="141"/>
      <c r="S6" s="141"/>
      <c r="AF6" s="490" t="s">
        <v>168</v>
      </c>
      <c r="AG6" s="490"/>
      <c r="AH6" s="490"/>
      <c r="AI6" s="490"/>
    </row>
    <row r="7" spans="1:43" ht="15.75" outlineLevel="1" thickBot="1" x14ac:dyDescent="0.3">
      <c r="G7" s="141"/>
      <c r="H7" s="141"/>
      <c r="I7" s="141"/>
      <c r="J7" s="141"/>
      <c r="K7" s="141"/>
      <c r="L7" s="141"/>
      <c r="N7" s="141"/>
      <c r="O7" s="141"/>
      <c r="P7" s="141"/>
      <c r="Q7" s="141"/>
      <c r="R7" s="141"/>
      <c r="S7" s="141"/>
    </row>
    <row r="8" spans="1:43" ht="57.75" thickBot="1" x14ac:dyDescent="0.25">
      <c r="A8" s="139" t="s">
        <v>116</v>
      </c>
      <c r="B8" s="138" t="s">
        <v>115</v>
      </c>
      <c r="C8" s="138" t="s">
        <v>114</v>
      </c>
      <c r="D8" s="138" t="s">
        <v>113</v>
      </c>
      <c r="E8" s="138" t="s">
        <v>112</v>
      </c>
      <c r="F8" s="138" t="s">
        <v>111</v>
      </c>
      <c r="G8" s="138" t="s">
        <v>110</v>
      </c>
      <c r="H8" s="139" t="s">
        <v>116</v>
      </c>
      <c r="I8" s="138" t="s">
        <v>115</v>
      </c>
      <c r="J8" s="138" t="s">
        <v>114</v>
      </c>
      <c r="K8" s="138" t="s">
        <v>113</v>
      </c>
      <c r="L8" s="138" t="s">
        <v>112</v>
      </c>
      <c r="M8" s="138" t="s">
        <v>111</v>
      </c>
      <c r="N8" s="138" t="s">
        <v>110</v>
      </c>
      <c r="O8" s="139" t="s">
        <v>116</v>
      </c>
      <c r="P8" s="138" t="s">
        <v>115</v>
      </c>
      <c r="Q8" s="138" t="s">
        <v>114</v>
      </c>
      <c r="R8" s="138" t="s">
        <v>113</v>
      </c>
      <c r="S8" s="138" t="s">
        <v>112</v>
      </c>
      <c r="T8" s="138" t="s">
        <v>111</v>
      </c>
      <c r="U8" s="138" t="s">
        <v>110</v>
      </c>
      <c r="V8" s="139" t="s">
        <v>116</v>
      </c>
      <c r="W8" s="138" t="s">
        <v>115</v>
      </c>
      <c r="X8" s="138" t="s">
        <v>114</v>
      </c>
      <c r="Y8" s="138" t="s">
        <v>113</v>
      </c>
      <c r="Z8" s="138" t="s">
        <v>112</v>
      </c>
      <c r="AA8" s="138" t="s">
        <v>111</v>
      </c>
      <c r="AB8" s="138" t="s">
        <v>110</v>
      </c>
      <c r="AC8" s="139" t="s">
        <v>116</v>
      </c>
      <c r="AD8" s="138" t="s">
        <v>115</v>
      </c>
      <c r="AE8" s="138" t="s">
        <v>114</v>
      </c>
      <c r="AF8" s="138" t="s">
        <v>113</v>
      </c>
      <c r="AG8" s="138" t="s">
        <v>112</v>
      </c>
      <c r="AH8" s="138" t="s">
        <v>111</v>
      </c>
      <c r="AI8" s="138" t="s">
        <v>110</v>
      </c>
      <c r="AJ8" s="139" t="s">
        <v>116</v>
      </c>
      <c r="AK8" s="138" t="s">
        <v>115</v>
      </c>
      <c r="AL8" s="138" t="s">
        <v>114</v>
      </c>
      <c r="AM8" s="138" t="s">
        <v>113</v>
      </c>
      <c r="AN8" s="138" t="s">
        <v>112</v>
      </c>
      <c r="AO8" s="138" t="s">
        <v>111</v>
      </c>
      <c r="AP8" s="138" t="s">
        <v>110</v>
      </c>
    </row>
    <row r="9" spans="1:43" ht="15" thickBot="1" x14ac:dyDescent="0.25">
      <c r="A9" s="137">
        <v>1</v>
      </c>
      <c r="B9" s="136">
        <v>2</v>
      </c>
      <c r="C9" s="136">
        <v>3</v>
      </c>
      <c r="D9" s="136">
        <v>4</v>
      </c>
      <c r="E9" s="136">
        <v>5</v>
      </c>
      <c r="F9" s="136"/>
      <c r="G9" s="136">
        <v>6</v>
      </c>
      <c r="H9" s="137">
        <v>1</v>
      </c>
      <c r="I9" s="136">
        <v>2</v>
      </c>
      <c r="J9" s="136">
        <v>3</v>
      </c>
      <c r="K9" s="136">
        <v>4</v>
      </c>
      <c r="L9" s="136">
        <v>5</v>
      </c>
      <c r="M9" s="136"/>
      <c r="N9" s="136">
        <v>6</v>
      </c>
      <c r="O9" s="137">
        <v>1</v>
      </c>
      <c r="P9" s="136">
        <v>2</v>
      </c>
      <c r="Q9" s="136">
        <v>3</v>
      </c>
      <c r="R9" s="136">
        <v>4</v>
      </c>
      <c r="S9" s="136">
        <v>5</v>
      </c>
      <c r="T9" s="136"/>
      <c r="U9" s="136">
        <v>6</v>
      </c>
      <c r="V9" s="137">
        <v>1</v>
      </c>
      <c r="W9" s="136">
        <v>2</v>
      </c>
      <c r="X9" s="136">
        <v>3</v>
      </c>
      <c r="Y9" s="136">
        <v>4</v>
      </c>
      <c r="Z9" s="136">
        <v>5</v>
      </c>
      <c r="AA9" s="136"/>
      <c r="AB9" s="136">
        <v>6</v>
      </c>
      <c r="AC9" s="137">
        <v>1</v>
      </c>
      <c r="AD9" s="136">
        <v>2</v>
      </c>
      <c r="AE9" s="136">
        <v>3</v>
      </c>
      <c r="AF9" s="136">
        <v>4</v>
      </c>
      <c r="AG9" s="136">
        <v>5</v>
      </c>
      <c r="AH9" s="136"/>
      <c r="AI9" s="136">
        <v>6</v>
      </c>
      <c r="AJ9" s="137">
        <v>1</v>
      </c>
      <c r="AK9" s="136">
        <v>2</v>
      </c>
      <c r="AL9" s="136">
        <v>3</v>
      </c>
      <c r="AM9" s="136">
        <v>4</v>
      </c>
      <c r="AN9" s="136">
        <v>5</v>
      </c>
      <c r="AO9" s="136"/>
      <c r="AP9" s="136">
        <v>6</v>
      </c>
    </row>
    <row r="10" spans="1:43" ht="15" thickBot="1" x14ac:dyDescent="0.25">
      <c r="A10" s="487" t="s">
        <v>109</v>
      </c>
      <c r="B10" s="463" t="s">
        <v>108</v>
      </c>
      <c r="C10" s="466" t="s">
        <v>100</v>
      </c>
      <c r="D10" s="466"/>
      <c r="E10" s="466"/>
      <c r="F10" s="466"/>
      <c r="G10" s="467"/>
      <c r="H10" s="487" t="s">
        <v>109</v>
      </c>
      <c r="I10" s="463" t="s">
        <v>108</v>
      </c>
      <c r="J10" s="466" t="s">
        <v>100</v>
      </c>
      <c r="K10" s="466"/>
      <c r="L10" s="466"/>
      <c r="M10" s="466"/>
      <c r="N10" s="467"/>
      <c r="O10" s="487" t="s">
        <v>107</v>
      </c>
      <c r="P10" s="463" t="s">
        <v>106</v>
      </c>
      <c r="Q10" s="466" t="s">
        <v>100</v>
      </c>
      <c r="R10" s="466"/>
      <c r="S10" s="466"/>
      <c r="T10" s="466"/>
      <c r="U10" s="467"/>
      <c r="V10" s="487" t="s">
        <v>104</v>
      </c>
      <c r="W10" s="463" t="s">
        <v>105</v>
      </c>
      <c r="X10" s="466" t="s">
        <v>100</v>
      </c>
      <c r="Y10" s="466"/>
      <c r="Z10" s="466"/>
      <c r="AA10" s="466"/>
      <c r="AB10" s="466"/>
      <c r="AC10" s="511" t="s">
        <v>142</v>
      </c>
      <c r="AD10" s="493" t="s">
        <v>156</v>
      </c>
      <c r="AE10" s="466" t="s">
        <v>100</v>
      </c>
      <c r="AF10" s="466"/>
      <c r="AG10" s="466"/>
      <c r="AH10" s="466"/>
      <c r="AI10" s="467"/>
      <c r="AJ10" s="469" t="s">
        <v>102</v>
      </c>
      <c r="AK10" s="463" t="s">
        <v>101</v>
      </c>
      <c r="AL10" s="466" t="s">
        <v>100</v>
      </c>
      <c r="AM10" s="466"/>
      <c r="AN10" s="466"/>
      <c r="AO10" s="466"/>
      <c r="AP10" s="467"/>
    </row>
    <row r="11" spans="1:43" ht="15" thickBot="1" x14ac:dyDescent="0.25">
      <c r="A11" s="488"/>
      <c r="B11" s="464"/>
      <c r="C11" s="466" t="s">
        <v>99</v>
      </c>
      <c r="D11" s="468"/>
      <c r="E11" s="466"/>
      <c r="F11" s="466"/>
      <c r="G11" s="467"/>
      <c r="H11" s="488"/>
      <c r="I11" s="464"/>
      <c r="J11" s="466" t="s">
        <v>99</v>
      </c>
      <c r="K11" s="466"/>
      <c r="L11" s="466"/>
      <c r="M11" s="468"/>
      <c r="N11" s="467"/>
      <c r="O11" s="488"/>
      <c r="P11" s="464"/>
      <c r="Q11" s="466" t="s">
        <v>99</v>
      </c>
      <c r="R11" s="466"/>
      <c r="S11" s="466"/>
      <c r="T11" s="468"/>
      <c r="U11" s="467"/>
      <c r="V11" s="488"/>
      <c r="W11" s="464"/>
      <c r="X11" s="466" t="s">
        <v>99</v>
      </c>
      <c r="Y11" s="466"/>
      <c r="Z11" s="466"/>
      <c r="AA11" s="468"/>
      <c r="AB11" s="466"/>
      <c r="AC11" s="512"/>
      <c r="AD11" s="494"/>
      <c r="AE11" s="468" t="s">
        <v>99</v>
      </c>
      <c r="AF11" s="468"/>
      <c r="AG11" s="468"/>
      <c r="AH11" s="468"/>
      <c r="AI11" s="469"/>
      <c r="AJ11" s="472"/>
      <c r="AK11" s="464"/>
      <c r="AL11" s="466" t="s">
        <v>99</v>
      </c>
      <c r="AM11" s="466"/>
      <c r="AN11" s="466"/>
      <c r="AO11" s="468"/>
      <c r="AP11" s="467"/>
    </row>
    <row r="12" spans="1:43" ht="26.25" hidden="1" customHeight="1" thickBot="1" x14ac:dyDescent="0.25">
      <c r="A12" s="488"/>
      <c r="B12" s="464"/>
      <c r="C12" s="9" t="s">
        <v>98</v>
      </c>
      <c r="D12" s="31" t="s">
        <v>37</v>
      </c>
      <c r="E12" s="38">
        <v>85.1</v>
      </c>
      <c r="F12" s="135">
        <v>46371030</v>
      </c>
      <c r="G12" s="133">
        <f>E12/F12</f>
        <v>1.8351975360478298E-6</v>
      </c>
      <c r="H12" s="488"/>
      <c r="I12" s="464"/>
      <c r="J12" s="38" t="s">
        <v>98</v>
      </c>
      <c r="K12" s="31" t="s">
        <v>37</v>
      </c>
      <c r="L12" s="132">
        <f>$G$12*M12</f>
        <v>40.139855818743563</v>
      </c>
      <c r="M12" s="20">
        <f>$F$12/$G$2*H2</f>
        <v>21872226.302780639</v>
      </c>
      <c r="N12" s="38"/>
      <c r="O12" s="488"/>
      <c r="P12" s="464"/>
      <c r="Q12" s="38" t="s">
        <v>98</v>
      </c>
      <c r="R12" s="31" t="s">
        <v>37</v>
      </c>
      <c r="S12" s="132">
        <f>$G$12*T12</f>
        <v>0.17528321318228629</v>
      </c>
      <c r="T12" s="20">
        <f>$F$12/$G$2*I2</f>
        <v>95511.905252317199</v>
      </c>
      <c r="U12" s="38"/>
      <c r="V12" s="488"/>
      <c r="W12" s="464"/>
      <c r="X12" s="38" t="s">
        <v>98</v>
      </c>
      <c r="Y12" s="31" t="s">
        <v>37</v>
      </c>
      <c r="Z12" s="132">
        <f>$G$12*AA12</f>
        <v>38.124098867147268</v>
      </c>
      <c r="AA12" s="20">
        <f>$F$12/$G$2*J2</f>
        <v>20773839.39237899</v>
      </c>
      <c r="AB12" s="328"/>
      <c r="AC12" s="512"/>
      <c r="AD12" s="494"/>
      <c r="AE12" s="228" t="s">
        <v>98</v>
      </c>
      <c r="AF12" s="127" t="s">
        <v>37</v>
      </c>
      <c r="AG12" s="241">
        <f>$G$12*AH12</f>
        <v>0.17528321318228629</v>
      </c>
      <c r="AH12" s="222">
        <f>$F$12/$G$2*K2</f>
        <v>95511.905252317199</v>
      </c>
      <c r="AI12" s="223"/>
      <c r="AJ12" s="472"/>
      <c r="AK12" s="464"/>
      <c r="AL12" s="38" t="s">
        <v>98</v>
      </c>
      <c r="AM12" s="31" t="s">
        <v>37</v>
      </c>
      <c r="AN12" s="131">
        <f>$G$12*AO12</f>
        <v>6.485478887744593</v>
      </c>
      <c r="AO12" s="20">
        <f>$F$12/$G$2*L2</f>
        <v>3533940.4943357361</v>
      </c>
      <c r="AP12" s="38"/>
      <c r="AQ12" s="4">
        <f t="shared" ref="AQ12:AQ41" si="0">E12-L12-S12-Z12-AG12-AN12</f>
        <v>0</v>
      </c>
    </row>
    <row r="13" spans="1:43" ht="29.25" thickBot="1" x14ac:dyDescent="0.25">
      <c r="A13" s="488"/>
      <c r="B13" s="464"/>
      <c r="C13" s="9" t="s">
        <v>97</v>
      </c>
      <c r="D13" s="31" t="s">
        <v>37</v>
      </c>
      <c r="E13" s="38">
        <v>85.1</v>
      </c>
      <c r="F13" s="134">
        <f>SUM(F12)</f>
        <v>46371030</v>
      </c>
      <c r="G13" s="133">
        <f>E13/F13</f>
        <v>1.8351975360478298E-6</v>
      </c>
      <c r="H13" s="488"/>
      <c r="I13" s="464"/>
      <c r="J13" s="38" t="s">
        <v>97</v>
      </c>
      <c r="K13" s="31" t="s">
        <v>37</v>
      </c>
      <c r="L13" s="132">
        <f>$G$13*M13</f>
        <v>40.139855818743563</v>
      </c>
      <c r="M13" s="130">
        <f>M12</f>
        <v>21872226.302780639</v>
      </c>
      <c r="N13" s="38"/>
      <c r="O13" s="488"/>
      <c r="P13" s="464"/>
      <c r="Q13" s="38" t="s">
        <v>97</v>
      </c>
      <c r="R13" s="31" t="s">
        <v>37</v>
      </c>
      <c r="S13" s="132">
        <f>$G$13*T13</f>
        <v>0.17528321318228629</v>
      </c>
      <c r="T13" s="130">
        <f>SUM(T12)</f>
        <v>95511.905252317199</v>
      </c>
      <c r="U13" s="38"/>
      <c r="V13" s="488"/>
      <c r="W13" s="464"/>
      <c r="X13" s="38" t="s">
        <v>97</v>
      </c>
      <c r="Y13" s="31" t="s">
        <v>37</v>
      </c>
      <c r="Z13" s="132">
        <f>$G$13*AA13</f>
        <v>38.124098867147268</v>
      </c>
      <c r="AA13" s="130">
        <f>SUM(AA12)</f>
        <v>20773839.39237899</v>
      </c>
      <c r="AB13" s="328"/>
      <c r="AC13" s="512"/>
      <c r="AD13" s="494"/>
      <c r="AE13" s="229" t="s">
        <v>97</v>
      </c>
      <c r="AF13" s="224" t="s">
        <v>37</v>
      </c>
      <c r="AG13" s="242">
        <f>$G$13*AH13</f>
        <v>0.17528321318228629</v>
      </c>
      <c r="AH13" s="226">
        <f>SUM(AH12)</f>
        <v>95511.905252317199</v>
      </c>
      <c r="AI13" s="227"/>
      <c r="AJ13" s="472"/>
      <c r="AK13" s="464"/>
      <c r="AL13" s="38" t="s">
        <v>97</v>
      </c>
      <c r="AM13" s="31" t="s">
        <v>37</v>
      </c>
      <c r="AN13" s="131">
        <f>$G$13*AO13</f>
        <v>6.485478887744593</v>
      </c>
      <c r="AO13" s="130">
        <f>SUM(AO12)</f>
        <v>3533940.4943357361</v>
      </c>
      <c r="AP13" s="38"/>
      <c r="AQ13" s="4">
        <f t="shared" si="0"/>
        <v>0</v>
      </c>
    </row>
    <row r="14" spans="1:43" ht="30" customHeight="1" thickBot="1" x14ac:dyDescent="0.25">
      <c r="A14" s="488"/>
      <c r="B14" s="464"/>
      <c r="C14" s="468" t="s">
        <v>96</v>
      </c>
      <c r="D14" s="471"/>
      <c r="E14" s="468"/>
      <c r="F14" s="468"/>
      <c r="G14" s="469"/>
      <c r="H14" s="488"/>
      <c r="I14" s="464"/>
      <c r="J14" s="468" t="s">
        <v>96</v>
      </c>
      <c r="K14" s="468"/>
      <c r="L14" s="468"/>
      <c r="M14" s="471"/>
      <c r="N14" s="469"/>
      <c r="O14" s="488"/>
      <c r="P14" s="464"/>
      <c r="Q14" s="468" t="s">
        <v>96</v>
      </c>
      <c r="R14" s="468"/>
      <c r="S14" s="468"/>
      <c r="T14" s="471"/>
      <c r="U14" s="469"/>
      <c r="V14" s="488"/>
      <c r="W14" s="464"/>
      <c r="X14" s="468" t="s">
        <v>96</v>
      </c>
      <c r="Y14" s="468"/>
      <c r="Z14" s="468"/>
      <c r="AA14" s="471"/>
      <c r="AB14" s="468"/>
      <c r="AC14" s="512"/>
      <c r="AD14" s="494"/>
      <c r="AE14" s="466" t="s">
        <v>96</v>
      </c>
      <c r="AF14" s="466"/>
      <c r="AG14" s="466"/>
      <c r="AH14" s="466"/>
      <c r="AI14" s="467"/>
      <c r="AJ14" s="472"/>
      <c r="AK14" s="464"/>
      <c r="AL14" s="468" t="s">
        <v>96</v>
      </c>
      <c r="AM14" s="468"/>
      <c r="AN14" s="468"/>
      <c r="AO14" s="471"/>
      <c r="AP14" s="469"/>
      <c r="AQ14" s="4">
        <f t="shared" si="0"/>
        <v>0</v>
      </c>
    </row>
    <row r="15" spans="1:43" ht="120" customHeight="1" x14ac:dyDescent="0.2">
      <c r="A15" s="488"/>
      <c r="B15" s="465"/>
      <c r="C15" s="31" t="s">
        <v>95</v>
      </c>
      <c r="D15" s="31" t="s">
        <v>10</v>
      </c>
      <c r="E15" s="129">
        <v>5</v>
      </c>
      <c r="F15" s="32">
        <v>16000</v>
      </c>
      <c r="G15" s="31">
        <f>E15/F15</f>
        <v>3.1250000000000001E-4</v>
      </c>
      <c r="H15" s="488"/>
      <c r="I15" s="465"/>
      <c r="J15" s="31" t="s">
        <v>95</v>
      </c>
      <c r="K15" s="31" t="s">
        <v>10</v>
      </c>
      <c r="L15" s="13">
        <f>$G$15*M15-0.1</f>
        <v>2.2583934088568483</v>
      </c>
      <c r="M15" s="12">
        <f t="shared" ref="M15:M27" si="1">$M$28/$F$28*F15</f>
        <v>7546.8589083419147</v>
      </c>
      <c r="N15" s="31"/>
      <c r="O15" s="472"/>
      <c r="P15" s="465"/>
      <c r="Q15" s="31" t="s">
        <v>95</v>
      </c>
      <c r="R15" s="31" t="s">
        <v>10</v>
      </c>
      <c r="S15" s="13">
        <f>$G$15*T15+0.1</f>
        <v>0.11029866117404738</v>
      </c>
      <c r="T15" s="12">
        <f t="shared" ref="T15:T27" si="2">$T$28/$F$28*F15</f>
        <v>32.955715756951598</v>
      </c>
      <c r="U15" s="124"/>
      <c r="V15" s="488"/>
      <c r="W15" s="465"/>
      <c r="X15" s="31" t="s">
        <v>95</v>
      </c>
      <c r="Y15" s="31" t="s">
        <v>10</v>
      </c>
      <c r="Z15" s="13">
        <f>$G$15*AA15</f>
        <v>2.2399588053553039</v>
      </c>
      <c r="AA15" s="12">
        <f t="shared" ref="AA15:AA27" si="3">$AA$28/$F$28*F15</f>
        <v>7167.868177136972</v>
      </c>
      <c r="AB15" s="42"/>
      <c r="AC15" s="512"/>
      <c r="AD15" s="494"/>
      <c r="AE15" s="230" t="s">
        <v>95</v>
      </c>
      <c r="AF15" s="128" t="s">
        <v>10</v>
      </c>
      <c r="AG15" s="243">
        <f>$G$15*AH15+0.1</f>
        <v>0.11029866117404738</v>
      </c>
      <c r="AH15" s="244">
        <f t="shared" ref="AH15:AH27" si="4">$AH$28/$F$28*F15</f>
        <v>32.955715756951598</v>
      </c>
      <c r="AI15" s="340" t="s">
        <v>150</v>
      </c>
      <c r="AJ15" s="472"/>
      <c r="AK15" s="465"/>
      <c r="AL15" s="31" t="s">
        <v>95</v>
      </c>
      <c r="AM15" s="31" t="s">
        <v>10</v>
      </c>
      <c r="AN15" s="13">
        <f>$G$15*AO15</f>
        <v>0.38105046343975285</v>
      </c>
      <c r="AO15" s="12">
        <f t="shared" ref="AO15:AO27" si="5">$AO$28/$F$28*F15</f>
        <v>1219.361483007209</v>
      </c>
      <c r="AP15" s="31"/>
      <c r="AQ15" s="4">
        <f t="shared" si="0"/>
        <v>-9.99999999999997E-2</v>
      </c>
    </row>
    <row r="16" spans="1:43" x14ac:dyDescent="0.2">
      <c r="A16" s="488"/>
      <c r="B16" s="465"/>
      <c r="C16" s="128" t="s">
        <v>94</v>
      </c>
      <c r="D16" s="31" t="s">
        <v>10</v>
      </c>
      <c r="E16" s="13">
        <v>4</v>
      </c>
      <c r="F16" s="32">
        <v>12000</v>
      </c>
      <c r="G16" s="31">
        <f>E16/F16</f>
        <v>3.3333333333333332E-4</v>
      </c>
      <c r="H16" s="488"/>
      <c r="I16" s="465"/>
      <c r="J16" s="31" t="s">
        <v>94</v>
      </c>
      <c r="K16" s="31" t="s">
        <v>10</v>
      </c>
      <c r="L16" s="13">
        <f>$G$16*M16-0.1</f>
        <v>1.7867147270854786</v>
      </c>
      <c r="M16" s="12">
        <f t="shared" si="1"/>
        <v>5660.1441812564362</v>
      </c>
      <c r="N16" s="31"/>
      <c r="O16" s="472"/>
      <c r="P16" s="465"/>
      <c r="Q16" s="128" t="s">
        <v>94</v>
      </c>
      <c r="R16" s="31" t="s">
        <v>10</v>
      </c>
      <c r="S16" s="13">
        <f>$G$16*T16+0.1</f>
        <v>0.10823892893923791</v>
      </c>
      <c r="T16" s="12">
        <f t="shared" si="2"/>
        <v>24.716786817713697</v>
      </c>
      <c r="U16" s="124"/>
      <c r="V16" s="488"/>
      <c r="W16" s="465"/>
      <c r="X16" s="128" t="s">
        <v>94</v>
      </c>
      <c r="Y16" s="31" t="s">
        <v>10</v>
      </c>
      <c r="Z16" s="13">
        <f>$G$16*AA16</f>
        <v>1.791967044284243</v>
      </c>
      <c r="AA16" s="12">
        <f t="shared" si="3"/>
        <v>5375.9011328527295</v>
      </c>
      <c r="AB16" s="42"/>
      <c r="AC16" s="512"/>
      <c r="AD16" s="494"/>
      <c r="AE16" s="230" t="s">
        <v>94</v>
      </c>
      <c r="AF16" s="31"/>
      <c r="AG16" s="13">
        <f>$G$16*AH16+0.1</f>
        <v>0.10823892893923791</v>
      </c>
      <c r="AH16" s="12">
        <f t="shared" si="4"/>
        <v>24.716786817713697</v>
      </c>
      <c r="AI16" s="71" t="s">
        <v>150</v>
      </c>
      <c r="AJ16" s="472"/>
      <c r="AK16" s="465"/>
      <c r="AL16" s="128" t="s">
        <v>94</v>
      </c>
      <c r="AM16" s="31" t="s">
        <v>10</v>
      </c>
      <c r="AN16" s="13">
        <f>$G$16*AO16</f>
        <v>0.30484037075180226</v>
      </c>
      <c r="AO16" s="12">
        <f t="shared" si="5"/>
        <v>914.52111225540682</v>
      </c>
      <c r="AP16" s="31"/>
      <c r="AQ16" s="4">
        <f t="shared" si="0"/>
        <v>-0.10000000000000009</v>
      </c>
    </row>
    <row r="17" spans="1:43" ht="29.25" thickBot="1" x14ac:dyDescent="0.25">
      <c r="A17" s="488"/>
      <c r="B17" s="465"/>
      <c r="C17" s="31" t="s">
        <v>93</v>
      </c>
      <c r="D17" s="31" t="s">
        <v>10</v>
      </c>
      <c r="E17" s="13">
        <v>4</v>
      </c>
      <c r="F17" s="32">
        <v>5157</v>
      </c>
      <c r="G17" s="31">
        <f>E17/F17</f>
        <v>7.7564475470234633E-4</v>
      </c>
      <c r="H17" s="488"/>
      <c r="I17" s="465"/>
      <c r="J17" s="31" t="s">
        <v>93</v>
      </c>
      <c r="K17" s="31" t="s">
        <v>10</v>
      </c>
      <c r="L17" s="13">
        <f>$G$17*M17-0.1</f>
        <v>1.7867147270854786</v>
      </c>
      <c r="M17" s="12">
        <f t="shared" si="1"/>
        <v>2432.4469618949533</v>
      </c>
      <c r="N17" s="31"/>
      <c r="O17" s="472"/>
      <c r="P17" s="465"/>
      <c r="Q17" s="31" t="s">
        <v>93</v>
      </c>
      <c r="R17" s="31" t="s">
        <v>10</v>
      </c>
      <c r="S17" s="13">
        <f>$G$17*T17+0.1</f>
        <v>0.10823892893923791</v>
      </c>
      <c r="T17" s="12">
        <f t="shared" si="2"/>
        <v>10.622039134912461</v>
      </c>
      <c r="U17" s="124"/>
      <c r="V17" s="488"/>
      <c r="W17" s="465"/>
      <c r="X17" s="31" t="s">
        <v>93</v>
      </c>
      <c r="Y17" s="31" t="s">
        <v>10</v>
      </c>
      <c r="Z17" s="13">
        <f>$G$17*AA17</f>
        <v>1.791967044284243</v>
      </c>
      <c r="AA17" s="12">
        <f t="shared" si="3"/>
        <v>2310.2935118434602</v>
      </c>
      <c r="AB17" s="42"/>
      <c r="AC17" s="512"/>
      <c r="AD17" s="494"/>
      <c r="AE17" s="124" t="s">
        <v>93</v>
      </c>
      <c r="AF17" s="31" t="s">
        <v>10</v>
      </c>
      <c r="AG17" s="129">
        <f>$G$17*AH17+0.1</f>
        <v>0.10823892893923791</v>
      </c>
      <c r="AH17" s="12">
        <f t="shared" si="4"/>
        <v>10.622039134912461</v>
      </c>
      <c r="AI17" s="71" t="s">
        <v>150</v>
      </c>
      <c r="AJ17" s="472"/>
      <c r="AK17" s="465"/>
      <c r="AL17" s="31" t="s">
        <v>93</v>
      </c>
      <c r="AM17" s="31" t="s">
        <v>10</v>
      </c>
      <c r="AN17" s="13">
        <f>$G$17*AO17</f>
        <v>0.30484037075180226</v>
      </c>
      <c r="AO17" s="12">
        <f t="shared" si="5"/>
        <v>393.01544799176105</v>
      </c>
      <c r="AP17" s="31"/>
      <c r="AQ17" s="4">
        <f t="shared" si="0"/>
        <v>-0.10000000000000009</v>
      </c>
    </row>
    <row r="18" spans="1:43" ht="28.5" x14ac:dyDescent="0.2">
      <c r="A18" s="488"/>
      <c r="B18" s="465"/>
      <c r="C18" s="31" t="s">
        <v>92</v>
      </c>
      <c r="D18" s="127" t="s">
        <v>10</v>
      </c>
      <c r="E18" s="13">
        <v>2</v>
      </c>
      <c r="F18" s="32">
        <v>30494</v>
      </c>
      <c r="G18" s="126">
        <f>E18/F18</f>
        <v>6.5586672788089459E-5</v>
      </c>
      <c r="H18" s="488"/>
      <c r="I18" s="465"/>
      <c r="J18" s="31" t="s">
        <v>92</v>
      </c>
      <c r="K18" s="127" t="s">
        <v>10</v>
      </c>
      <c r="L18" s="13">
        <f>$G$18*M18-0.1</f>
        <v>0.84335736354273938</v>
      </c>
      <c r="M18" s="12">
        <f t="shared" si="1"/>
        <v>14383.369721936147</v>
      </c>
      <c r="N18" s="31"/>
      <c r="O18" s="472"/>
      <c r="P18" s="465"/>
      <c r="Q18" s="31" t="s">
        <v>92</v>
      </c>
      <c r="R18" s="127" t="s">
        <v>10</v>
      </c>
      <c r="S18" s="13">
        <f>$G$18*T18+0.1</f>
        <v>0.10411946446961895</v>
      </c>
      <c r="T18" s="12">
        <f t="shared" si="2"/>
        <v>62.809474768280118</v>
      </c>
      <c r="U18" s="124"/>
      <c r="V18" s="488"/>
      <c r="W18" s="465"/>
      <c r="X18" s="31" t="s">
        <v>92</v>
      </c>
      <c r="Y18" s="127" t="s">
        <v>10</v>
      </c>
      <c r="Z18" s="13">
        <f>$G$18*AA18-0.1</f>
        <v>0.79598352214212154</v>
      </c>
      <c r="AA18" s="12">
        <f t="shared" si="3"/>
        <v>13661.060762100928</v>
      </c>
      <c r="AB18" s="42"/>
      <c r="AC18" s="512"/>
      <c r="AD18" s="494"/>
      <c r="AE18" s="124" t="s">
        <v>92</v>
      </c>
      <c r="AF18" s="128" t="s">
        <v>10</v>
      </c>
      <c r="AG18" s="13">
        <f>$G$18*AH18+0.1</f>
        <v>0.10411946446961895</v>
      </c>
      <c r="AH18" s="12">
        <f t="shared" si="4"/>
        <v>62.809474768280118</v>
      </c>
      <c r="AI18" s="71" t="s">
        <v>150</v>
      </c>
      <c r="AJ18" s="472"/>
      <c r="AK18" s="465"/>
      <c r="AL18" s="31" t="s">
        <v>92</v>
      </c>
      <c r="AM18" s="127" t="s">
        <v>10</v>
      </c>
      <c r="AN18" s="13">
        <f>$G$18*AO18</f>
        <v>0.15242018537590113</v>
      </c>
      <c r="AO18" s="12">
        <f t="shared" si="5"/>
        <v>2323.9505664263647</v>
      </c>
      <c r="AP18" s="31"/>
      <c r="AQ18" s="4">
        <f t="shared" si="0"/>
        <v>0</v>
      </c>
    </row>
    <row r="19" spans="1:43" ht="28.5" x14ac:dyDescent="0.2">
      <c r="A19" s="488"/>
      <c r="B19" s="465"/>
      <c r="C19" s="31" t="s">
        <v>91</v>
      </c>
      <c r="D19" s="31" t="s">
        <v>89</v>
      </c>
      <c r="E19" s="13">
        <v>54</v>
      </c>
      <c r="F19" s="32">
        <f>82983.67+102410</f>
        <v>185393.66999999998</v>
      </c>
      <c r="G19" s="31">
        <f t="shared" ref="G19:G27" si="6">E19/F19</f>
        <v>2.9127208064870828E-4</v>
      </c>
      <c r="H19" s="488"/>
      <c r="I19" s="465"/>
      <c r="J19" s="31" t="s">
        <v>91</v>
      </c>
      <c r="K19" s="31" t="s">
        <v>89</v>
      </c>
      <c r="L19" s="13">
        <f>$G$19*M19</f>
        <v>25.470648815653963</v>
      </c>
      <c r="M19" s="12">
        <f t="shared" si="1"/>
        <v>87446.241874356318</v>
      </c>
      <c r="N19" s="31"/>
      <c r="O19" s="472"/>
      <c r="P19" s="465"/>
      <c r="Q19" s="31" t="s">
        <v>91</v>
      </c>
      <c r="R19" s="31" t="s">
        <v>89</v>
      </c>
      <c r="S19" s="13">
        <f>$G$19*T19</f>
        <v>0.11122554067971165</v>
      </c>
      <c r="T19" s="12">
        <f t="shared" si="2"/>
        <v>381.86131822863024</v>
      </c>
      <c r="U19" s="124"/>
      <c r="V19" s="488"/>
      <c r="W19" s="465"/>
      <c r="X19" s="31" t="s">
        <v>91</v>
      </c>
      <c r="Y19" s="31" t="s">
        <v>89</v>
      </c>
      <c r="Z19" s="13">
        <f>$G$19*AA19</f>
        <v>24.191555097837281</v>
      </c>
      <c r="AA19" s="12">
        <f t="shared" si="3"/>
        <v>83054.836714727076</v>
      </c>
      <c r="AB19" s="42"/>
      <c r="AC19" s="512"/>
      <c r="AD19" s="494"/>
      <c r="AE19" s="124" t="s">
        <v>91</v>
      </c>
      <c r="AF19" s="31" t="s">
        <v>89</v>
      </c>
      <c r="AG19" s="13">
        <f>$G$19*AH19</f>
        <v>0.11122554067971165</v>
      </c>
      <c r="AH19" s="12">
        <f t="shared" si="4"/>
        <v>381.86131822863024</v>
      </c>
      <c r="AI19" s="71" t="s">
        <v>150</v>
      </c>
      <c r="AJ19" s="472"/>
      <c r="AK19" s="465"/>
      <c r="AL19" s="31" t="s">
        <v>91</v>
      </c>
      <c r="AM19" s="31" t="s">
        <v>89</v>
      </c>
      <c r="AN19" s="13">
        <f>$G$19*AO19</f>
        <v>4.1153450051493312</v>
      </c>
      <c r="AO19" s="12">
        <f t="shared" si="5"/>
        <v>14128.868774459319</v>
      </c>
      <c r="AP19" s="31"/>
      <c r="AQ19" s="4">
        <f t="shared" si="0"/>
        <v>0</v>
      </c>
    </row>
    <row r="20" spans="1:43" ht="28.5" x14ac:dyDescent="0.2">
      <c r="A20" s="488"/>
      <c r="B20" s="465"/>
      <c r="C20" s="31" t="s">
        <v>90</v>
      </c>
      <c r="D20" s="31" t="s">
        <v>89</v>
      </c>
      <c r="E20" s="13">
        <v>68</v>
      </c>
      <c r="F20" s="32">
        <f>628975.88+98974</f>
        <v>727949.88</v>
      </c>
      <c r="G20" s="126">
        <f t="shared" si="6"/>
        <v>9.3413024534051706E-5</v>
      </c>
      <c r="H20" s="488"/>
      <c r="I20" s="465"/>
      <c r="J20" s="31" t="s">
        <v>90</v>
      </c>
      <c r="K20" s="31" t="s">
        <v>89</v>
      </c>
      <c r="L20" s="13">
        <f>$G$20*M20</f>
        <v>32.074150360453132</v>
      </c>
      <c r="M20" s="12">
        <f t="shared" si="1"/>
        <v>343358.43979402672</v>
      </c>
      <c r="N20" s="31"/>
      <c r="O20" s="472"/>
      <c r="P20" s="465"/>
      <c r="Q20" s="31" t="s">
        <v>90</v>
      </c>
      <c r="R20" s="31" t="s">
        <v>89</v>
      </c>
      <c r="S20" s="13">
        <f>$G$20*T20</f>
        <v>0.14006179196704427</v>
      </c>
      <c r="T20" s="12">
        <f t="shared" si="2"/>
        <v>1499.381833161689</v>
      </c>
      <c r="U20" s="124"/>
      <c r="V20" s="488"/>
      <c r="W20" s="465"/>
      <c r="X20" s="31" t="s">
        <v>90</v>
      </c>
      <c r="Y20" s="31" t="s">
        <v>89</v>
      </c>
      <c r="Z20" s="13">
        <f>$G$20*AA20</f>
        <v>30.46343975283213</v>
      </c>
      <c r="AA20" s="12">
        <f t="shared" si="3"/>
        <v>326115.54871266737</v>
      </c>
      <c r="AB20" s="42"/>
      <c r="AC20" s="512"/>
      <c r="AD20" s="494"/>
      <c r="AE20" s="124" t="s">
        <v>90</v>
      </c>
      <c r="AF20" s="31" t="s">
        <v>89</v>
      </c>
      <c r="AG20" s="13">
        <f>$G$20*AH20</f>
        <v>0.14006179196704427</v>
      </c>
      <c r="AH20" s="12">
        <f t="shared" si="4"/>
        <v>1499.381833161689</v>
      </c>
      <c r="AI20" s="71" t="s">
        <v>150</v>
      </c>
      <c r="AJ20" s="472"/>
      <c r="AK20" s="465"/>
      <c r="AL20" s="31" t="s">
        <v>90</v>
      </c>
      <c r="AM20" s="31" t="s">
        <v>89</v>
      </c>
      <c r="AN20" s="13">
        <f>$G$20*AO20</f>
        <v>5.1822863027806383</v>
      </c>
      <c r="AO20" s="12">
        <f t="shared" si="5"/>
        <v>55477.127826982491</v>
      </c>
      <c r="AP20" s="31"/>
      <c r="AQ20" s="4">
        <f t="shared" si="0"/>
        <v>1.3322676295501878E-14</v>
      </c>
    </row>
    <row r="21" spans="1:43" ht="28.5" x14ac:dyDescent="0.2">
      <c r="A21" s="488"/>
      <c r="B21" s="465"/>
      <c r="C21" s="31" t="s">
        <v>88</v>
      </c>
      <c r="D21" s="31" t="s">
        <v>10</v>
      </c>
      <c r="E21" s="13">
        <v>101</v>
      </c>
      <c r="F21" s="32">
        <v>88952.960000000006</v>
      </c>
      <c r="G21" s="31">
        <f t="shared" si="6"/>
        <v>1.1354315809164754E-3</v>
      </c>
      <c r="H21" s="488"/>
      <c r="I21" s="465"/>
      <c r="J21" s="31" t="s">
        <v>88</v>
      </c>
      <c r="K21" s="31" t="s">
        <v>10</v>
      </c>
      <c r="L21" s="13">
        <f>$G$21*M21</f>
        <v>47.639546858908339</v>
      </c>
      <c r="M21" s="12">
        <f t="shared" si="1"/>
        <v>41957.214912461379</v>
      </c>
      <c r="N21" s="31"/>
      <c r="O21" s="472"/>
      <c r="P21" s="465"/>
      <c r="Q21" s="31" t="s">
        <v>88</v>
      </c>
      <c r="R21" s="31" t="s">
        <v>10</v>
      </c>
      <c r="S21" s="13">
        <f>$G$21*T21</f>
        <v>0.20803295571575697</v>
      </c>
      <c r="T21" s="12">
        <f t="shared" si="2"/>
        <v>183.21927909371783</v>
      </c>
      <c r="U21" s="124"/>
      <c r="V21" s="488"/>
      <c r="W21" s="465"/>
      <c r="X21" s="31" t="s">
        <v>88</v>
      </c>
      <c r="Y21" s="31" t="s">
        <v>10</v>
      </c>
      <c r="Z21" s="13">
        <f>$G$21*AA21</f>
        <v>45.247167868177144</v>
      </c>
      <c r="AA21" s="12">
        <f t="shared" si="3"/>
        <v>39850.193202883631</v>
      </c>
      <c r="AB21" s="42"/>
      <c r="AC21" s="512"/>
      <c r="AD21" s="494"/>
      <c r="AE21" s="124" t="s">
        <v>88</v>
      </c>
      <c r="AF21" s="31" t="s">
        <v>10</v>
      </c>
      <c r="AG21" s="13">
        <f>$G$21*AH21</f>
        <v>0.20803295571575697</v>
      </c>
      <c r="AH21" s="12">
        <f t="shared" si="4"/>
        <v>183.21927909371783</v>
      </c>
      <c r="AI21" s="71" t="s">
        <v>150</v>
      </c>
      <c r="AJ21" s="472"/>
      <c r="AK21" s="465"/>
      <c r="AL21" s="31" t="s">
        <v>88</v>
      </c>
      <c r="AM21" s="31" t="s">
        <v>10</v>
      </c>
      <c r="AN21" s="13">
        <f>$G$21*AO21</f>
        <v>7.6972193614830084</v>
      </c>
      <c r="AO21" s="12">
        <f t="shared" si="5"/>
        <v>6779.11332646756</v>
      </c>
      <c r="AP21" s="31"/>
      <c r="AQ21" s="4">
        <f t="shared" si="0"/>
        <v>0</v>
      </c>
    </row>
    <row r="22" spans="1:43" ht="42.75" x14ac:dyDescent="0.2">
      <c r="A22" s="488"/>
      <c r="B22" s="465"/>
      <c r="C22" s="31" t="s">
        <v>87</v>
      </c>
      <c r="D22" s="31" t="s">
        <v>10</v>
      </c>
      <c r="E22" s="13">
        <v>1080</v>
      </c>
      <c r="F22" s="32">
        <v>147996.53078924544</v>
      </c>
      <c r="G22" s="31">
        <f t="shared" si="6"/>
        <v>7.2974683544303797E-3</v>
      </c>
      <c r="H22" s="488"/>
      <c r="I22" s="465"/>
      <c r="J22" s="31" t="s">
        <v>87</v>
      </c>
      <c r="K22" s="31" t="s">
        <v>10</v>
      </c>
      <c r="L22" s="13">
        <f>$G$22*M22</f>
        <v>509.41297631307924</v>
      </c>
      <c r="M22" s="12">
        <f t="shared" si="1"/>
        <v>69806.808549407215</v>
      </c>
      <c r="N22" s="31"/>
      <c r="O22" s="472"/>
      <c r="P22" s="465"/>
      <c r="Q22" s="31" t="s">
        <v>87</v>
      </c>
      <c r="R22" s="31" t="s">
        <v>10</v>
      </c>
      <c r="S22" s="13">
        <f>$G$22*T22</f>
        <v>2.2245108135942324</v>
      </c>
      <c r="T22" s="12">
        <f t="shared" si="2"/>
        <v>304.83322510658172</v>
      </c>
      <c r="U22" s="124"/>
      <c r="V22" s="488"/>
      <c r="W22" s="465"/>
      <c r="X22" s="31" t="s">
        <v>87</v>
      </c>
      <c r="Y22" s="31" t="s">
        <v>10</v>
      </c>
      <c r="Z22" s="13">
        <f>$G$22*AA22</f>
        <v>483.83110195674561</v>
      </c>
      <c r="AA22" s="12">
        <f t="shared" si="3"/>
        <v>66301.22646068153</v>
      </c>
      <c r="AB22" s="42"/>
      <c r="AC22" s="512"/>
      <c r="AD22" s="494"/>
      <c r="AE22" s="124" t="s">
        <v>87</v>
      </c>
      <c r="AF22" s="31" t="s">
        <v>10</v>
      </c>
      <c r="AG22" s="13">
        <f>$G$22*AH22</f>
        <v>2.2245108135942324</v>
      </c>
      <c r="AH22" s="12">
        <f t="shared" si="4"/>
        <v>304.83322510658172</v>
      </c>
      <c r="AI22" s="71" t="s">
        <v>150</v>
      </c>
      <c r="AJ22" s="472"/>
      <c r="AK22" s="465"/>
      <c r="AL22" s="31" t="s">
        <v>87</v>
      </c>
      <c r="AM22" s="31" t="s">
        <v>10</v>
      </c>
      <c r="AN22" s="13">
        <f>$G$22*AO22</f>
        <v>82.306900102986603</v>
      </c>
      <c r="AO22" s="12">
        <f t="shared" si="5"/>
        <v>11278.829328943524</v>
      </c>
      <c r="AP22" s="31"/>
      <c r="AQ22" s="4">
        <f t="shared" si="0"/>
        <v>0</v>
      </c>
    </row>
    <row r="23" spans="1:43" ht="42.75" x14ac:dyDescent="0.2">
      <c r="A23" s="488"/>
      <c r="B23" s="465"/>
      <c r="C23" s="31" t="s">
        <v>86</v>
      </c>
      <c r="D23" s="31" t="s">
        <v>10</v>
      </c>
      <c r="E23" s="125">
        <v>1600</v>
      </c>
      <c r="F23" s="32">
        <f>1285698.67+845000</f>
        <v>2130698.67</v>
      </c>
      <c r="G23" s="31">
        <f t="shared" si="6"/>
        <v>7.509273941584617E-4</v>
      </c>
      <c r="H23" s="488"/>
      <c r="I23" s="465"/>
      <c r="J23" s="31" t="s">
        <v>86</v>
      </c>
      <c r="K23" s="31" t="s">
        <v>10</v>
      </c>
      <c r="L23" s="13">
        <f>$G$23*M23</f>
        <v>754.68589083419147</v>
      </c>
      <c r="M23" s="12">
        <f t="shared" si="1"/>
        <v>1005005.1399176106</v>
      </c>
      <c r="N23" s="31"/>
      <c r="O23" s="472"/>
      <c r="P23" s="465"/>
      <c r="Q23" s="31" t="s">
        <v>86</v>
      </c>
      <c r="R23" s="31" t="s">
        <v>10</v>
      </c>
      <c r="S23" s="13">
        <f>$G$23*T23</f>
        <v>3.2955715756951598</v>
      </c>
      <c r="T23" s="12">
        <f t="shared" si="2"/>
        <v>4388.6687332646752</v>
      </c>
      <c r="U23" s="124"/>
      <c r="V23" s="488"/>
      <c r="W23" s="465"/>
      <c r="X23" s="31" t="s">
        <v>86</v>
      </c>
      <c r="Y23" s="31" t="s">
        <v>10</v>
      </c>
      <c r="Z23" s="13">
        <f>$G$23*AA23</f>
        <v>716.78681771369725</v>
      </c>
      <c r="AA23" s="12">
        <f t="shared" si="3"/>
        <v>954535.44948506693</v>
      </c>
      <c r="AB23" s="42"/>
      <c r="AC23" s="512"/>
      <c r="AD23" s="494"/>
      <c r="AE23" s="124" t="s">
        <v>86</v>
      </c>
      <c r="AF23" s="31" t="s">
        <v>10</v>
      </c>
      <c r="AG23" s="13">
        <f>$G$23*AH23</f>
        <v>3.2955715756951598</v>
      </c>
      <c r="AH23" s="12">
        <f t="shared" si="4"/>
        <v>4388.6687332646752</v>
      </c>
      <c r="AI23" s="71" t="s">
        <v>150</v>
      </c>
      <c r="AJ23" s="472"/>
      <c r="AK23" s="465"/>
      <c r="AL23" s="31" t="s">
        <v>86</v>
      </c>
      <c r="AM23" s="31" t="s">
        <v>10</v>
      </c>
      <c r="AN23" s="13">
        <f>$G$23*AO23</f>
        <v>121.9361483007209</v>
      </c>
      <c r="AO23" s="12">
        <f t="shared" si="5"/>
        <v>162380.74313079298</v>
      </c>
      <c r="AP23" s="31"/>
      <c r="AQ23" s="4">
        <f t="shared" si="0"/>
        <v>0</v>
      </c>
    </row>
    <row r="24" spans="1:43" x14ac:dyDescent="0.2">
      <c r="A24" s="488"/>
      <c r="B24" s="465"/>
      <c r="C24" s="31" t="s">
        <v>85</v>
      </c>
      <c r="D24" s="31" t="s">
        <v>10</v>
      </c>
      <c r="E24" s="13">
        <v>270</v>
      </c>
      <c r="F24" s="32">
        <f>17464+61306.9</f>
        <v>78770.899999999994</v>
      </c>
      <c r="G24" s="31">
        <f t="shared" si="6"/>
        <v>3.4276617380276223E-3</v>
      </c>
      <c r="H24" s="488"/>
      <c r="I24" s="465"/>
      <c r="J24" s="31" t="s">
        <v>85</v>
      </c>
      <c r="K24" s="31" t="s">
        <v>10</v>
      </c>
      <c r="L24" s="13">
        <f>$G$24*M24</f>
        <v>127.35324407826984</v>
      </c>
      <c r="M24" s="12">
        <f t="shared" si="1"/>
        <v>37154.554273944384</v>
      </c>
      <c r="N24" s="31"/>
      <c r="O24" s="472"/>
      <c r="P24" s="465"/>
      <c r="Q24" s="31" t="s">
        <v>85</v>
      </c>
      <c r="R24" s="31" t="s">
        <v>10</v>
      </c>
      <c r="S24" s="13">
        <f>$G$24*T24</f>
        <v>0.55612770339855822</v>
      </c>
      <c r="T24" s="12">
        <f t="shared" si="2"/>
        <v>162.24696189495364</v>
      </c>
      <c r="U24" s="124"/>
      <c r="V24" s="488"/>
      <c r="W24" s="465"/>
      <c r="X24" s="31" t="s">
        <v>85</v>
      </c>
      <c r="Y24" s="31" t="s">
        <v>10</v>
      </c>
      <c r="Z24" s="13">
        <f>$G$24*AA24</f>
        <v>120.9577754891864</v>
      </c>
      <c r="AA24" s="12">
        <f t="shared" si="3"/>
        <v>35288.714212152416</v>
      </c>
      <c r="AB24" s="42"/>
      <c r="AC24" s="512"/>
      <c r="AD24" s="494"/>
      <c r="AE24" s="124" t="s">
        <v>85</v>
      </c>
      <c r="AF24" s="31" t="s">
        <v>10</v>
      </c>
      <c r="AG24" s="13">
        <f>$G$24*AH24</f>
        <v>0.55612770339855822</v>
      </c>
      <c r="AH24" s="12">
        <f t="shared" si="4"/>
        <v>162.24696189495364</v>
      </c>
      <c r="AI24" s="71" t="s">
        <v>150</v>
      </c>
      <c r="AJ24" s="472"/>
      <c r="AK24" s="465"/>
      <c r="AL24" s="31" t="s">
        <v>85</v>
      </c>
      <c r="AM24" s="31" t="s">
        <v>10</v>
      </c>
      <c r="AN24" s="13">
        <f>$G$24*AO24</f>
        <v>20.576725025746654</v>
      </c>
      <c r="AO24" s="12">
        <f t="shared" si="5"/>
        <v>6003.1375901132851</v>
      </c>
      <c r="AP24" s="31"/>
      <c r="AQ24" s="4">
        <f t="shared" si="0"/>
        <v>0</v>
      </c>
    </row>
    <row r="25" spans="1:43" x14ac:dyDescent="0.2">
      <c r="A25" s="488"/>
      <c r="B25" s="465"/>
      <c r="C25" s="31" t="s">
        <v>84</v>
      </c>
      <c r="D25" s="31" t="s">
        <v>10</v>
      </c>
      <c r="E25" s="13">
        <v>89</v>
      </c>
      <c r="F25" s="32">
        <v>169343.68</v>
      </c>
      <c r="G25" s="31">
        <f t="shared" si="6"/>
        <v>5.2555843831904444E-4</v>
      </c>
      <c r="H25" s="488"/>
      <c r="I25" s="465"/>
      <c r="J25" s="31" t="s">
        <v>84</v>
      </c>
      <c r="K25" s="31" t="s">
        <v>10</v>
      </c>
      <c r="L25" s="13">
        <f>$G$25*M25</f>
        <v>41.979402677651898</v>
      </c>
      <c r="M25" s="12">
        <f t="shared" si="1"/>
        <v>79875.803748712657</v>
      </c>
      <c r="N25" s="31"/>
      <c r="O25" s="472"/>
      <c r="P25" s="465"/>
      <c r="Q25" s="31" t="s">
        <v>84</v>
      </c>
      <c r="R25" s="31" t="s">
        <v>10</v>
      </c>
      <c r="S25" s="13">
        <f>$G$25*T25</f>
        <v>0.18331616889804322</v>
      </c>
      <c r="T25" s="12">
        <f t="shared" si="2"/>
        <v>348.80263645726052</v>
      </c>
      <c r="U25" s="124"/>
      <c r="V25" s="488"/>
      <c r="W25" s="465"/>
      <c r="X25" s="31" t="s">
        <v>84</v>
      </c>
      <c r="Y25" s="31" t="s">
        <v>10</v>
      </c>
      <c r="Z25" s="13">
        <f>$G$25*AA25</f>
        <v>39.871266735324404</v>
      </c>
      <c r="AA25" s="12">
        <f t="shared" si="3"/>
        <v>75864.573429454162</v>
      </c>
      <c r="AB25" s="42"/>
      <c r="AC25" s="512"/>
      <c r="AD25" s="494"/>
      <c r="AE25" s="124" t="s">
        <v>84</v>
      </c>
      <c r="AF25" s="31" t="s">
        <v>10</v>
      </c>
      <c r="AG25" s="13">
        <f>$G$25*AH25</f>
        <v>0.18331616889804322</v>
      </c>
      <c r="AH25" s="12">
        <f t="shared" si="4"/>
        <v>348.80263645726052</v>
      </c>
      <c r="AI25" s="71" t="s">
        <v>150</v>
      </c>
      <c r="AJ25" s="472"/>
      <c r="AK25" s="465"/>
      <c r="AL25" s="31" t="s">
        <v>84</v>
      </c>
      <c r="AM25" s="31" t="s">
        <v>10</v>
      </c>
      <c r="AN25" s="13">
        <f>$G$25*AO25</f>
        <v>6.7826982492275993</v>
      </c>
      <c r="AO25" s="12">
        <f t="shared" si="5"/>
        <v>12905.697548918639</v>
      </c>
      <c r="AP25" s="31"/>
      <c r="AQ25" s="4">
        <f t="shared" si="0"/>
        <v>9.7699626167013776E-15</v>
      </c>
    </row>
    <row r="26" spans="1:43" x14ac:dyDescent="0.2">
      <c r="A26" s="488"/>
      <c r="B26" s="465"/>
      <c r="C26" s="31" t="s">
        <v>83</v>
      </c>
      <c r="D26" s="31" t="s">
        <v>10</v>
      </c>
      <c r="E26" s="13">
        <v>80</v>
      </c>
      <c r="F26" s="32">
        <v>20000</v>
      </c>
      <c r="G26" s="31">
        <f t="shared" si="6"/>
        <v>4.0000000000000001E-3</v>
      </c>
      <c r="H26" s="488"/>
      <c r="I26" s="465"/>
      <c r="J26" s="31" t="s">
        <v>83</v>
      </c>
      <c r="K26" s="31" t="s">
        <v>10</v>
      </c>
      <c r="L26" s="13">
        <f>$G$26*M26</f>
        <v>37.734294541709573</v>
      </c>
      <c r="M26" s="12">
        <f t="shared" si="1"/>
        <v>9433.573635427394</v>
      </c>
      <c r="N26" s="31"/>
      <c r="O26" s="472"/>
      <c r="P26" s="465"/>
      <c r="Q26" s="31" t="s">
        <v>83</v>
      </c>
      <c r="R26" s="31" t="s">
        <v>10</v>
      </c>
      <c r="S26" s="13">
        <f>$G$26*T26</f>
        <v>0.16477857878475796</v>
      </c>
      <c r="T26" s="12">
        <f t="shared" si="2"/>
        <v>41.194644696189492</v>
      </c>
      <c r="U26" s="124"/>
      <c r="V26" s="488"/>
      <c r="W26" s="465"/>
      <c r="X26" s="31" t="s">
        <v>83</v>
      </c>
      <c r="Y26" s="31" t="s">
        <v>10</v>
      </c>
      <c r="Z26" s="13">
        <f>$G$26*AA26</f>
        <v>35.839340885684862</v>
      </c>
      <c r="AA26" s="12">
        <f t="shared" si="3"/>
        <v>8959.8352214212155</v>
      </c>
      <c r="AB26" s="42"/>
      <c r="AC26" s="512"/>
      <c r="AD26" s="494"/>
      <c r="AE26" s="124" t="s">
        <v>83</v>
      </c>
      <c r="AF26" s="31" t="s">
        <v>10</v>
      </c>
      <c r="AG26" s="13">
        <f>$G$26*AH26</f>
        <v>0.16477857878475796</v>
      </c>
      <c r="AH26" s="12">
        <f t="shared" si="4"/>
        <v>41.194644696189492</v>
      </c>
      <c r="AI26" s="71" t="s">
        <v>150</v>
      </c>
      <c r="AJ26" s="472"/>
      <c r="AK26" s="465"/>
      <c r="AL26" s="31" t="s">
        <v>83</v>
      </c>
      <c r="AM26" s="31" t="s">
        <v>10</v>
      </c>
      <c r="AN26" s="13">
        <f>$G$26*AO26</f>
        <v>6.0968074150360456</v>
      </c>
      <c r="AO26" s="12">
        <f t="shared" si="5"/>
        <v>1524.2018537590113</v>
      </c>
      <c r="AP26" s="31"/>
      <c r="AQ26" s="4">
        <f t="shared" si="0"/>
        <v>0</v>
      </c>
    </row>
    <row r="27" spans="1:43" ht="15" thickBot="1" x14ac:dyDescent="0.25">
      <c r="A27" s="488"/>
      <c r="B27" s="465"/>
      <c r="C27" s="31" t="s">
        <v>82</v>
      </c>
      <c r="D27" s="31" t="s">
        <v>10</v>
      </c>
      <c r="E27" s="13">
        <v>520</v>
      </c>
      <c r="F27" s="32">
        <v>34776.748999999996</v>
      </c>
      <c r="G27" s="31">
        <f t="shared" si="6"/>
        <v>1.4952518994803109E-2</v>
      </c>
      <c r="H27" s="488"/>
      <c r="I27" s="465"/>
      <c r="J27" s="31" t="s">
        <v>82</v>
      </c>
      <c r="K27" s="31" t="s">
        <v>10</v>
      </c>
      <c r="L27" s="13">
        <f>$G$27*M27</f>
        <v>245.2729145211122</v>
      </c>
      <c r="M27" s="12">
        <f t="shared" si="1"/>
        <v>16403.451124613795</v>
      </c>
      <c r="N27" s="31"/>
      <c r="O27" s="472"/>
      <c r="P27" s="465"/>
      <c r="Q27" s="31" t="s">
        <v>82</v>
      </c>
      <c r="R27" s="31" t="s">
        <v>10</v>
      </c>
      <c r="S27" s="13">
        <f>$G$27*T27</f>
        <v>1.0710607621009269</v>
      </c>
      <c r="T27" s="12">
        <f t="shared" si="2"/>
        <v>71.630790937178162</v>
      </c>
      <c r="U27" s="124"/>
      <c r="V27" s="488"/>
      <c r="W27" s="465"/>
      <c r="X27" s="31" t="s">
        <v>82</v>
      </c>
      <c r="Y27" s="31" t="s">
        <v>10</v>
      </c>
      <c r="Z27" s="13">
        <f>$G$27*AA27</f>
        <v>232.95571575695161</v>
      </c>
      <c r="AA27" s="12">
        <f t="shared" si="3"/>
        <v>15579.69702883625</v>
      </c>
      <c r="AB27" s="42"/>
      <c r="AC27" s="512"/>
      <c r="AD27" s="494"/>
      <c r="AE27" s="124" t="s">
        <v>82</v>
      </c>
      <c r="AF27" s="31" t="s">
        <v>10</v>
      </c>
      <c r="AG27" s="13">
        <f>$G$27*AH27</f>
        <v>1.0710607621009269</v>
      </c>
      <c r="AH27" s="12">
        <f t="shared" si="4"/>
        <v>71.630790937178162</v>
      </c>
      <c r="AI27" s="71" t="s">
        <v>150</v>
      </c>
      <c r="AJ27" s="472"/>
      <c r="AK27" s="465"/>
      <c r="AL27" s="31" t="s">
        <v>82</v>
      </c>
      <c r="AM27" s="31" t="s">
        <v>10</v>
      </c>
      <c r="AN27" s="13">
        <f>$G$27*AO27</f>
        <v>39.629248197734292</v>
      </c>
      <c r="AO27" s="12">
        <f t="shared" si="5"/>
        <v>2650.3392646755919</v>
      </c>
      <c r="AP27" s="31"/>
      <c r="AQ27" s="4">
        <f t="shared" si="0"/>
        <v>1.0658141036401503E-13</v>
      </c>
    </row>
    <row r="28" spans="1:43" ht="15" hidden="1" customHeight="1" thickBot="1" x14ac:dyDescent="0.25">
      <c r="A28" s="488"/>
      <c r="B28" s="464"/>
      <c r="C28" s="111" t="s">
        <v>2</v>
      </c>
      <c r="D28" s="110"/>
      <c r="E28" s="109"/>
      <c r="F28" s="112">
        <f>SUM(F15:F27)</f>
        <v>3647534.0397892455</v>
      </c>
      <c r="G28" s="108">
        <f>SUM(G23:G27)</f>
        <v>2.3656666565308238E-2</v>
      </c>
      <c r="H28" s="488"/>
      <c r="I28" s="464"/>
      <c r="J28" s="111" t="s">
        <v>2</v>
      </c>
      <c r="K28" s="110"/>
      <c r="L28" s="109"/>
      <c r="M28" s="51">
        <f>$F$28/$G$2*H2</f>
        <v>1720464.04760399</v>
      </c>
      <c r="N28" s="108">
        <f>SUM(N23:N27)</f>
        <v>0</v>
      </c>
      <c r="O28" s="488"/>
      <c r="P28" s="464"/>
      <c r="Q28" s="111" t="s">
        <v>2</v>
      </c>
      <c r="R28" s="110"/>
      <c r="S28" s="109"/>
      <c r="T28" s="68">
        <f>$F$28/$G$2*I2</f>
        <v>7512.9434393187339</v>
      </c>
      <c r="U28" s="108">
        <f>SUM(U23:U27)</f>
        <v>0</v>
      </c>
      <c r="V28" s="488"/>
      <c r="W28" s="464"/>
      <c r="X28" s="111" t="s">
        <v>2</v>
      </c>
      <c r="Y28" s="110"/>
      <c r="Z28" s="109"/>
      <c r="AA28" s="51">
        <f>$F$28/$G$2*J2</f>
        <v>1634065.1980518247</v>
      </c>
      <c r="AB28" s="360">
        <f>SUM(AB23:AB27)</f>
        <v>0</v>
      </c>
      <c r="AC28" s="512"/>
      <c r="AD28" s="494"/>
      <c r="AE28" s="252" t="s">
        <v>2</v>
      </c>
      <c r="AF28" s="245"/>
      <c r="AG28" s="330"/>
      <c r="AH28" s="195">
        <f>$F$28/$G$2*K2</f>
        <v>7512.9434393187339</v>
      </c>
      <c r="AI28" s="246">
        <f>SUM(AI23:AI27)</f>
        <v>0</v>
      </c>
      <c r="AJ28" s="472"/>
      <c r="AK28" s="464"/>
      <c r="AL28" s="111" t="s">
        <v>2</v>
      </c>
      <c r="AM28" s="110"/>
      <c r="AN28" s="109"/>
      <c r="AO28" s="51">
        <f>$F$28/$G$2*L2</f>
        <v>277978.90725479316</v>
      </c>
      <c r="AP28" s="108">
        <f>SUM(AP23:AP27)</f>
        <v>0</v>
      </c>
      <c r="AQ28" s="4">
        <f t="shared" si="0"/>
        <v>0</v>
      </c>
    </row>
    <row r="29" spans="1:43" ht="15" thickBot="1" x14ac:dyDescent="0.25">
      <c r="A29" s="488"/>
      <c r="B29" s="464"/>
      <c r="C29" s="466" t="s">
        <v>81</v>
      </c>
      <c r="D29" s="466"/>
      <c r="E29" s="466"/>
      <c r="F29" s="466"/>
      <c r="G29" s="467"/>
      <c r="H29" s="488"/>
      <c r="I29" s="464"/>
      <c r="J29" s="466" t="s">
        <v>81</v>
      </c>
      <c r="K29" s="466"/>
      <c r="L29" s="466"/>
      <c r="M29" s="466"/>
      <c r="N29" s="467"/>
      <c r="O29" s="488"/>
      <c r="P29" s="464"/>
      <c r="Q29" s="466" t="s">
        <v>81</v>
      </c>
      <c r="R29" s="466"/>
      <c r="S29" s="466"/>
      <c r="T29" s="498"/>
      <c r="U29" s="467"/>
      <c r="V29" s="488"/>
      <c r="W29" s="464"/>
      <c r="X29" s="466" t="s">
        <v>81</v>
      </c>
      <c r="Y29" s="466"/>
      <c r="Z29" s="466"/>
      <c r="AA29" s="466"/>
      <c r="AB29" s="466"/>
      <c r="AC29" s="512"/>
      <c r="AD29" s="494"/>
      <c r="AE29" s="514" t="s">
        <v>81</v>
      </c>
      <c r="AF29" s="504"/>
      <c r="AG29" s="504"/>
      <c r="AH29" s="504"/>
      <c r="AI29" s="505"/>
      <c r="AJ29" s="472"/>
      <c r="AK29" s="464"/>
      <c r="AL29" s="466" t="s">
        <v>81</v>
      </c>
      <c r="AM29" s="466"/>
      <c r="AN29" s="466"/>
      <c r="AO29" s="466"/>
      <c r="AP29" s="467"/>
      <c r="AQ29" s="4">
        <f t="shared" si="0"/>
        <v>0</v>
      </c>
    </row>
    <row r="30" spans="1:43" ht="15" thickBot="1" x14ac:dyDescent="0.25">
      <c r="A30" s="488"/>
      <c r="B30" s="464"/>
      <c r="C30" s="38"/>
      <c r="D30" s="38"/>
      <c r="E30" s="38"/>
      <c r="F30" s="38"/>
      <c r="G30" s="38"/>
      <c r="H30" s="488"/>
      <c r="I30" s="464"/>
      <c r="J30" s="38"/>
      <c r="K30" s="38"/>
      <c r="L30" s="38"/>
      <c r="M30" s="38"/>
      <c r="N30" s="38"/>
      <c r="O30" s="488"/>
      <c r="P30" s="464"/>
      <c r="Q30" s="38"/>
      <c r="R30" s="38"/>
      <c r="S30" s="38"/>
      <c r="T30" s="38"/>
      <c r="U30" s="38"/>
      <c r="V30" s="488"/>
      <c r="W30" s="464"/>
      <c r="X30" s="38"/>
      <c r="Y30" s="38"/>
      <c r="Z30" s="38"/>
      <c r="AA30" s="38"/>
      <c r="AB30" s="328"/>
      <c r="AC30" s="512"/>
      <c r="AD30" s="495"/>
      <c r="AE30" s="253" t="s">
        <v>140</v>
      </c>
      <c r="AF30" s="247" t="s">
        <v>140</v>
      </c>
      <c r="AG30" s="247" t="s">
        <v>140</v>
      </c>
      <c r="AH30" s="247"/>
      <c r="AI30" s="374" t="s">
        <v>140</v>
      </c>
      <c r="AJ30" s="472"/>
      <c r="AK30" s="464"/>
      <c r="AL30" s="38"/>
      <c r="AM30" s="38"/>
      <c r="AN30" s="38"/>
      <c r="AO30" s="38"/>
      <c r="AP30" s="38"/>
      <c r="AQ30" s="4" t="e">
        <f t="shared" si="0"/>
        <v>#VALUE!</v>
      </c>
    </row>
    <row r="31" spans="1:43" ht="15" thickBot="1" x14ac:dyDescent="0.25">
      <c r="A31" s="488"/>
      <c r="B31" s="463"/>
      <c r="C31" s="466" t="s">
        <v>80</v>
      </c>
      <c r="D31" s="466"/>
      <c r="E31" s="466"/>
      <c r="F31" s="466"/>
      <c r="G31" s="467"/>
      <c r="H31" s="488"/>
      <c r="I31" s="463"/>
      <c r="J31" s="466" t="s">
        <v>80</v>
      </c>
      <c r="K31" s="466"/>
      <c r="L31" s="466"/>
      <c r="M31" s="466"/>
      <c r="N31" s="467"/>
      <c r="O31" s="488"/>
      <c r="P31" s="463"/>
      <c r="Q31" s="466" t="s">
        <v>80</v>
      </c>
      <c r="R31" s="466"/>
      <c r="S31" s="466"/>
      <c r="T31" s="466"/>
      <c r="U31" s="467"/>
      <c r="V31" s="488"/>
      <c r="W31" s="463"/>
      <c r="X31" s="466" t="s">
        <v>80</v>
      </c>
      <c r="Y31" s="466"/>
      <c r="Z31" s="466"/>
      <c r="AA31" s="466"/>
      <c r="AB31" s="466"/>
      <c r="AC31" s="512"/>
      <c r="AD31" s="463"/>
      <c r="AE31" s="466" t="s">
        <v>80</v>
      </c>
      <c r="AF31" s="466"/>
      <c r="AG31" s="466"/>
      <c r="AH31" s="466"/>
      <c r="AI31" s="467"/>
      <c r="AJ31" s="472"/>
      <c r="AK31" s="463"/>
      <c r="AL31" s="466" t="s">
        <v>80</v>
      </c>
      <c r="AM31" s="466"/>
      <c r="AN31" s="466"/>
      <c r="AO31" s="466"/>
      <c r="AP31" s="467"/>
      <c r="AQ31" s="4">
        <f t="shared" si="0"/>
        <v>0</v>
      </c>
    </row>
    <row r="32" spans="1:43" x14ac:dyDescent="0.2">
      <c r="A32" s="488"/>
      <c r="B32" s="464"/>
      <c r="C32" s="468" t="s">
        <v>79</v>
      </c>
      <c r="D32" s="468"/>
      <c r="E32" s="468"/>
      <c r="F32" s="468"/>
      <c r="G32" s="469"/>
      <c r="H32" s="488"/>
      <c r="I32" s="464"/>
      <c r="J32" s="468" t="s">
        <v>79</v>
      </c>
      <c r="K32" s="468"/>
      <c r="L32" s="468"/>
      <c r="M32" s="468"/>
      <c r="N32" s="469"/>
      <c r="O32" s="488"/>
      <c r="P32" s="464"/>
      <c r="Q32" s="468" t="s">
        <v>79</v>
      </c>
      <c r="R32" s="468"/>
      <c r="S32" s="468"/>
      <c r="T32" s="468"/>
      <c r="U32" s="469"/>
      <c r="V32" s="488"/>
      <c r="W32" s="464"/>
      <c r="X32" s="468" t="s">
        <v>79</v>
      </c>
      <c r="Y32" s="468"/>
      <c r="Z32" s="468"/>
      <c r="AA32" s="468"/>
      <c r="AB32" s="468"/>
      <c r="AC32" s="512"/>
      <c r="AD32" s="464"/>
      <c r="AE32" s="468" t="s">
        <v>79</v>
      </c>
      <c r="AF32" s="468"/>
      <c r="AG32" s="468"/>
      <c r="AH32" s="468"/>
      <c r="AI32" s="469"/>
      <c r="AJ32" s="472"/>
      <c r="AK32" s="464"/>
      <c r="AL32" s="468" t="s">
        <v>79</v>
      </c>
      <c r="AM32" s="468"/>
      <c r="AN32" s="468"/>
      <c r="AO32" s="468"/>
      <c r="AP32" s="469"/>
      <c r="AQ32" s="4">
        <f t="shared" si="0"/>
        <v>0</v>
      </c>
    </row>
    <row r="33" spans="1:43" x14ac:dyDescent="0.2">
      <c r="A33" s="488"/>
      <c r="B33" s="465"/>
      <c r="C33" s="123" t="s">
        <v>78</v>
      </c>
      <c r="D33" s="122" t="s">
        <v>77</v>
      </c>
      <c r="E33" s="72">
        <v>187000</v>
      </c>
      <c r="F33" s="12">
        <v>1273617.73</v>
      </c>
      <c r="G33" s="94">
        <f>E33/F33</f>
        <v>0.14682584545992461</v>
      </c>
      <c r="H33" s="488"/>
      <c r="I33" s="465"/>
      <c r="J33" s="123" t="s">
        <v>78</v>
      </c>
      <c r="K33" s="122" t="s">
        <v>77</v>
      </c>
      <c r="L33" s="72">
        <f>$G$33*M33</f>
        <v>96330.993987828901</v>
      </c>
      <c r="M33" s="12">
        <f t="shared" ref="M33:M39" si="7">$M$40/$F$40*F33</f>
        <v>656090.17054236529</v>
      </c>
      <c r="N33" s="121"/>
      <c r="O33" s="488"/>
      <c r="P33" s="465"/>
      <c r="Q33" s="123" t="s">
        <v>78</v>
      </c>
      <c r="R33" s="122" t="s">
        <v>77</v>
      </c>
      <c r="S33" s="72">
        <f>$G$33*T33</f>
        <v>420.65936239226596</v>
      </c>
      <c r="T33" s="12">
        <f t="shared" ref="T33:T39" si="8">$T$40/$F$40*F33</f>
        <v>2865.0225787876211</v>
      </c>
      <c r="U33" s="121"/>
      <c r="V33" s="488"/>
      <c r="W33" s="465"/>
      <c r="X33" s="123" t="s">
        <v>78</v>
      </c>
      <c r="Y33" s="122" t="s">
        <v>77</v>
      </c>
      <c r="Z33" s="72">
        <f>$G$33*AA33</f>
        <v>76825.891777602985</v>
      </c>
      <c r="AA33" s="12">
        <f t="shared" ref="AA33:AA39" si="9">$AA$40/$F$40*F33</f>
        <v>523245.0154599807</v>
      </c>
      <c r="AB33" s="361"/>
      <c r="AC33" s="512"/>
      <c r="AD33" s="464"/>
      <c r="AE33" s="200" t="s">
        <v>78</v>
      </c>
      <c r="AF33" s="122" t="s">
        <v>77</v>
      </c>
      <c r="AG33" s="72">
        <f>$G$33*AH33</f>
        <v>353.22249093150799</v>
      </c>
      <c r="AH33" s="12">
        <f t="shared" ref="AH33:AH39" si="10">$AH$40/$F$40*F33</f>
        <v>2405.7242090114055</v>
      </c>
      <c r="AI33" s="345" t="s">
        <v>150</v>
      </c>
      <c r="AJ33" s="472"/>
      <c r="AK33" s="465"/>
      <c r="AL33" s="123" t="s">
        <v>78</v>
      </c>
      <c r="AM33" s="122" t="s">
        <v>77</v>
      </c>
      <c r="AN33" s="72">
        <f>$G$33*AO33</f>
        <v>13069.232164465797</v>
      </c>
      <c r="AO33" s="12">
        <f t="shared" ref="AO33:AO39" si="11">$AO$40/$F$40*F33</f>
        <v>89011.795733422012</v>
      </c>
      <c r="AP33" s="121"/>
      <c r="AQ33" s="4">
        <f t="shared" si="0"/>
        <v>2.1677854238077998E-4</v>
      </c>
    </row>
    <row r="34" spans="1:43" s="21" customFormat="1" x14ac:dyDescent="0.2">
      <c r="A34" s="488"/>
      <c r="B34" s="465"/>
      <c r="C34" s="116" t="s">
        <v>76</v>
      </c>
      <c r="D34" s="115" t="s">
        <v>75</v>
      </c>
      <c r="E34" s="114">
        <v>1400</v>
      </c>
      <c r="F34" s="28">
        <v>1620579.4899839996</v>
      </c>
      <c r="G34" s="94">
        <f>E34/F34</f>
        <v>8.63888509420678E-4</v>
      </c>
      <c r="H34" s="488"/>
      <c r="I34" s="465"/>
      <c r="J34" s="116" t="s">
        <v>76</v>
      </c>
      <c r="K34" s="115" t="s">
        <v>75</v>
      </c>
      <c r="L34" s="114">
        <f>$G$34*M34</f>
        <v>721.19460739551062</v>
      </c>
      <c r="M34" s="28">
        <f t="shared" si="7"/>
        <v>834823.70645159099</v>
      </c>
      <c r="N34" s="113"/>
      <c r="O34" s="488"/>
      <c r="P34" s="465"/>
      <c r="Q34" s="116" t="s">
        <v>76</v>
      </c>
      <c r="R34" s="115" t="s">
        <v>75</v>
      </c>
      <c r="S34" s="114">
        <f>$G$34*T34</f>
        <v>3.1493214296747185</v>
      </c>
      <c r="T34" s="28">
        <f t="shared" si="8"/>
        <v>3645.51836878424</v>
      </c>
      <c r="U34" s="113"/>
      <c r="V34" s="488"/>
      <c r="W34" s="465"/>
      <c r="X34" s="116" t="s">
        <v>76</v>
      </c>
      <c r="Y34" s="115" t="s">
        <v>75</v>
      </c>
      <c r="Z34" s="114">
        <f>$G$34*AA34</f>
        <v>575.16710421734865</v>
      </c>
      <c r="AA34" s="28">
        <f t="shared" si="9"/>
        <v>665788.58029151778</v>
      </c>
      <c r="AB34" s="362"/>
      <c r="AC34" s="512"/>
      <c r="AD34" s="464"/>
      <c r="AE34" s="201" t="s">
        <v>76</v>
      </c>
      <c r="AF34" s="115" t="s">
        <v>75</v>
      </c>
      <c r="AG34" s="114">
        <f>$G$34*AH34</f>
        <v>2.644446456171718</v>
      </c>
      <c r="AH34" s="28">
        <f t="shared" si="10"/>
        <v>3061.0969208805413</v>
      </c>
      <c r="AI34" s="350" t="s">
        <v>150</v>
      </c>
      <c r="AJ34" s="472"/>
      <c r="AK34" s="465"/>
      <c r="AL34" s="116" t="s">
        <v>76</v>
      </c>
      <c r="AM34" s="115" t="s">
        <v>75</v>
      </c>
      <c r="AN34" s="114">
        <f>$G$34*AO34</f>
        <v>97.844518878353583</v>
      </c>
      <c r="AO34" s="28">
        <f t="shared" si="11"/>
        <v>113260.58607258004</v>
      </c>
      <c r="AP34" s="113"/>
      <c r="AQ34" s="4">
        <f t="shared" si="0"/>
        <v>1.6229407009404895E-6</v>
      </c>
    </row>
    <row r="35" spans="1:43" s="21" customFormat="1" ht="75" customHeight="1" x14ac:dyDescent="0.2">
      <c r="A35" s="488"/>
      <c r="B35" s="465"/>
      <c r="C35" s="116" t="s">
        <v>74</v>
      </c>
      <c r="D35" s="115" t="s">
        <v>69</v>
      </c>
      <c r="E35" s="114">
        <v>5111.9040000000005</v>
      </c>
      <c r="F35" s="28">
        <v>103802.10996879359</v>
      </c>
      <c r="G35" s="94">
        <f>E35/F35</f>
        <v>4.9246629009148377E-2</v>
      </c>
      <c r="H35" s="488"/>
      <c r="I35" s="465"/>
      <c r="J35" s="116" t="s">
        <v>74</v>
      </c>
      <c r="K35" s="115" t="s">
        <v>69</v>
      </c>
      <c r="L35" s="114">
        <f>$G$35*M35</f>
        <v>2633.3411416596718</v>
      </c>
      <c r="M35" s="28">
        <f t="shared" si="7"/>
        <v>53472.515675549796</v>
      </c>
      <c r="N35" s="113"/>
      <c r="O35" s="488"/>
      <c r="P35" s="465"/>
      <c r="Q35" s="116" t="s">
        <v>74</v>
      </c>
      <c r="R35" s="115" t="s">
        <v>69</v>
      </c>
      <c r="S35" s="114">
        <f>$G$35*T35</f>
        <v>11.49930629545708</v>
      </c>
      <c r="T35" s="28">
        <f t="shared" si="8"/>
        <v>233.50443526440955</v>
      </c>
      <c r="U35" s="113"/>
      <c r="V35" s="488"/>
      <c r="W35" s="465"/>
      <c r="X35" s="116" t="s">
        <v>74</v>
      </c>
      <c r="Y35" s="115" t="s">
        <v>69</v>
      </c>
      <c r="Z35" s="114">
        <f>$G$35*AA35</f>
        <v>2100.1421576550583</v>
      </c>
      <c r="AA35" s="28">
        <f t="shared" si="9"/>
        <v>42645.399287429849</v>
      </c>
      <c r="AB35" s="362"/>
      <c r="AC35" s="512"/>
      <c r="AD35" s="464"/>
      <c r="AE35" s="201" t="s">
        <v>74</v>
      </c>
      <c r="AF35" s="115" t="s">
        <v>69</v>
      </c>
      <c r="AG35" s="114">
        <f>$G$35*AH35</f>
        <v>9.6558260122071662</v>
      </c>
      <c r="AH35" s="28">
        <f t="shared" si="10"/>
        <v>196.07080132151657</v>
      </c>
      <c r="AI35" s="358" t="s">
        <v>148</v>
      </c>
      <c r="AJ35" s="472"/>
      <c r="AK35" s="465"/>
      <c r="AL35" s="116" t="s">
        <v>74</v>
      </c>
      <c r="AM35" s="115" t="s">
        <v>69</v>
      </c>
      <c r="AN35" s="114">
        <f>$G$35*AO35</f>
        <v>357.26556245166512</v>
      </c>
      <c r="AO35" s="28">
        <f t="shared" si="11"/>
        <v>7254.6196488961132</v>
      </c>
      <c r="AP35" s="113"/>
      <c r="AQ35" s="4">
        <f t="shared" si="0"/>
        <v>5.9259407407807885E-6</v>
      </c>
    </row>
    <row r="36" spans="1:43" s="21" customFormat="1" ht="68.25" customHeight="1" x14ac:dyDescent="0.2">
      <c r="A36" s="488"/>
      <c r="B36" s="465"/>
      <c r="C36" s="120" t="s">
        <v>73</v>
      </c>
      <c r="D36" s="115" t="s">
        <v>69</v>
      </c>
      <c r="E36" s="114">
        <v>240</v>
      </c>
      <c r="F36" s="28">
        <v>277813.62685439992</v>
      </c>
      <c r="G36" s="94">
        <f>E36/F36</f>
        <v>8.63888509420678E-4</v>
      </c>
      <c r="H36" s="488"/>
      <c r="I36" s="465"/>
      <c r="J36" s="120" t="s">
        <v>73</v>
      </c>
      <c r="K36" s="115" t="s">
        <v>69</v>
      </c>
      <c r="L36" s="114">
        <f>$G$36*M36</f>
        <v>123.6333612678018</v>
      </c>
      <c r="M36" s="28">
        <f t="shared" si="7"/>
        <v>143112.6353917013</v>
      </c>
      <c r="N36" s="113"/>
      <c r="O36" s="488"/>
      <c r="P36" s="465"/>
      <c r="Q36" s="120" t="s">
        <v>73</v>
      </c>
      <c r="R36" s="115" t="s">
        <v>69</v>
      </c>
      <c r="S36" s="114">
        <f>$G$36*T36</f>
        <v>0.53988367365852308</v>
      </c>
      <c r="T36" s="28">
        <f t="shared" si="8"/>
        <v>624.94600607729819</v>
      </c>
      <c r="U36" s="113"/>
      <c r="V36" s="488"/>
      <c r="W36" s="465"/>
      <c r="X36" s="120" t="s">
        <v>73</v>
      </c>
      <c r="Y36" s="115" t="s">
        <v>69</v>
      </c>
      <c r="Z36" s="114">
        <f>$G$36*AA36</f>
        <v>98.600075008688336</v>
      </c>
      <c r="AA36" s="28">
        <f t="shared" si="9"/>
        <v>114135.1851928316</v>
      </c>
      <c r="AB36" s="362"/>
      <c r="AC36" s="512"/>
      <c r="AD36" s="464"/>
      <c r="AE36" s="202" t="s">
        <v>73</v>
      </c>
      <c r="AF36" s="115" t="s">
        <v>69</v>
      </c>
      <c r="AG36" s="114">
        <f>$G$36*AH36</f>
        <v>0.4533336782008659</v>
      </c>
      <c r="AH36" s="28">
        <f t="shared" si="10"/>
        <v>524.75947215094993</v>
      </c>
      <c r="AI36" s="358" t="s">
        <v>148</v>
      </c>
      <c r="AJ36" s="472"/>
      <c r="AK36" s="465"/>
      <c r="AL36" s="120" t="s">
        <v>73</v>
      </c>
      <c r="AM36" s="115" t="s">
        <v>69</v>
      </c>
      <c r="AN36" s="114">
        <f>$G$36*AO36</f>
        <v>16.773346093432039</v>
      </c>
      <c r="AO36" s="28">
        <f t="shared" si="11"/>
        <v>19416.100469585148</v>
      </c>
      <c r="AP36" s="113"/>
      <c r="AQ36" s="4">
        <f t="shared" si="0"/>
        <v>2.7821843318065476E-7</v>
      </c>
    </row>
    <row r="37" spans="1:43" s="21" customFormat="1" ht="75" customHeight="1" x14ac:dyDescent="0.2">
      <c r="A37" s="488"/>
      <c r="B37" s="465"/>
      <c r="C37" s="116" t="s">
        <v>72</v>
      </c>
      <c r="D37" s="115" t="s">
        <v>69</v>
      </c>
      <c r="E37" s="117"/>
      <c r="F37" s="119"/>
      <c r="G37" s="118"/>
      <c r="H37" s="488"/>
      <c r="I37" s="465"/>
      <c r="J37" s="116" t="s">
        <v>72</v>
      </c>
      <c r="K37" s="115" t="s">
        <v>69</v>
      </c>
      <c r="L37" s="117"/>
      <c r="M37" s="28">
        <f t="shared" si="7"/>
        <v>0</v>
      </c>
      <c r="N37" s="113"/>
      <c r="O37" s="488"/>
      <c r="P37" s="465"/>
      <c r="Q37" s="116" t="s">
        <v>72</v>
      </c>
      <c r="R37" s="115" t="s">
        <v>69</v>
      </c>
      <c r="S37" s="117"/>
      <c r="T37" s="28">
        <f t="shared" si="8"/>
        <v>0</v>
      </c>
      <c r="U37" s="113"/>
      <c r="V37" s="488"/>
      <c r="W37" s="465"/>
      <c r="X37" s="116" t="s">
        <v>72</v>
      </c>
      <c r="Y37" s="115" t="s">
        <v>69</v>
      </c>
      <c r="Z37" s="117"/>
      <c r="AA37" s="28">
        <f t="shared" si="9"/>
        <v>0</v>
      </c>
      <c r="AB37" s="362"/>
      <c r="AC37" s="512"/>
      <c r="AD37" s="464"/>
      <c r="AE37" s="201" t="s">
        <v>72</v>
      </c>
      <c r="AF37" s="115" t="s">
        <v>69</v>
      </c>
      <c r="AG37" s="117"/>
      <c r="AH37" s="28">
        <f t="shared" si="10"/>
        <v>0</v>
      </c>
      <c r="AI37" s="358" t="s">
        <v>148</v>
      </c>
      <c r="AJ37" s="472"/>
      <c r="AK37" s="465"/>
      <c r="AL37" s="116" t="s">
        <v>72</v>
      </c>
      <c r="AM37" s="115" t="s">
        <v>69</v>
      </c>
      <c r="AN37" s="117"/>
      <c r="AO37" s="28">
        <f t="shared" si="11"/>
        <v>0</v>
      </c>
      <c r="AP37" s="113"/>
      <c r="AQ37" s="4">
        <f t="shared" si="0"/>
        <v>0</v>
      </c>
    </row>
    <row r="38" spans="1:43" s="21" customFormat="1" ht="71.25" customHeight="1" x14ac:dyDescent="0.2">
      <c r="A38" s="488"/>
      <c r="B38" s="465"/>
      <c r="C38" s="116" t="s">
        <v>71</v>
      </c>
      <c r="D38" s="115" t="s">
        <v>69</v>
      </c>
      <c r="E38" s="114">
        <v>2633.3999999999996</v>
      </c>
      <c r="F38" s="28">
        <v>53473.710850559983</v>
      </c>
      <c r="G38" s="94">
        <f>E38/F38</f>
        <v>4.9246629009148377E-2</v>
      </c>
      <c r="H38" s="488"/>
      <c r="I38" s="465"/>
      <c r="J38" s="116" t="s">
        <v>71</v>
      </c>
      <c r="K38" s="115" t="s">
        <v>69</v>
      </c>
      <c r="L38" s="114">
        <f>$G$38*M38</f>
        <v>1356.5670565109551</v>
      </c>
      <c r="M38" s="28">
        <f t="shared" si="7"/>
        <v>27546.3942163219</v>
      </c>
      <c r="N38" s="113"/>
      <c r="O38" s="488"/>
      <c r="P38" s="465"/>
      <c r="Q38" s="116" t="s">
        <v>71</v>
      </c>
      <c r="R38" s="115" t="s">
        <v>69</v>
      </c>
      <c r="S38" s="114">
        <f>$G$38*T38</f>
        <v>5.9238736092181439</v>
      </c>
      <c r="T38" s="28">
        <f t="shared" si="8"/>
        <v>120.28993107564148</v>
      </c>
      <c r="U38" s="113"/>
      <c r="V38" s="488"/>
      <c r="W38" s="465"/>
      <c r="X38" s="116" t="s">
        <v>71</v>
      </c>
      <c r="Y38" s="115" t="s">
        <v>69</v>
      </c>
      <c r="Z38" s="114">
        <f>$G$38*AA38</f>
        <v>1081.8893230328326</v>
      </c>
      <c r="AA38" s="28">
        <f t="shared" si="9"/>
        <v>21968.799586908859</v>
      </c>
      <c r="AB38" s="362"/>
      <c r="AC38" s="512"/>
      <c r="AD38" s="464"/>
      <c r="AE38" s="201" t="s">
        <v>71</v>
      </c>
      <c r="AF38" s="115" t="s">
        <v>69</v>
      </c>
      <c r="AG38" s="114">
        <f>$G$38*AH38</f>
        <v>4.9742037840590001</v>
      </c>
      <c r="AH38" s="28">
        <f t="shared" si="10"/>
        <v>101.00597511222463</v>
      </c>
      <c r="AI38" s="358" t="s">
        <v>148</v>
      </c>
      <c r="AJ38" s="472"/>
      <c r="AK38" s="465"/>
      <c r="AL38" s="116" t="s">
        <v>71</v>
      </c>
      <c r="AM38" s="115" t="s">
        <v>69</v>
      </c>
      <c r="AN38" s="114">
        <f>$G$38*AO38</f>
        <v>184.04554001018303</v>
      </c>
      <c r="AO38" s="28">
        <f t="shared" si="11"/>
        <v>3737.2210791523116</v>
      </c>
      <c r="AP38" s="113"/>
      <c r="AQ38" s="4">
        <f t="shared" si="0"/>
        <v>3.052751679888388E-6</v>
      </c>
    </row>
    <row r="39" spans="1:43" s="21" customFormat="1" ht="77.25" customHeight="1" x14ac:dyDescent="0.2">
      <c r="A39" s="488"/>
      <c r="B39" s="465"/>
      <c r="C39" s="116" t="s">
        <v>70</v>
      </c>
      <c r="D39" s="115" t="s">
        <v>69</v>
      </c>
      <c r="E39" s="114">
        <v>7745.2919999999995</v>
      </c>
      <c r="F39" s="28">
        <v>42734.416251239993</v>
      </c>
      <c r="G39" s="94">
        <f>E39/F39</f>
        <v>0.18124248976433041</v>
      </c>
      <c r="H39" s="488"/>
      <c r="I39" s="465"/>
      <c r="J39" s="116" t="s">
        <v>70</v>
      </c>
      <c r="K39" s="115" t="s">
        <v>69</v>
      </c>
      <c r="L39" s="114">
        <f>$G$39*M39</f>
        <v>3989.9020165025631</v>
      </c>
      <c r="M39" s="28">
        <f t="shared" si="7"/>
        <v>22014.164678992394</v>
      </c>
      <c r="N39" s="113"/>
      <c r="O39" s="488"/>
      <c r="P39" s="465"/>
      <c r="Q39" s="116" t="s">
        <v>70</v>
      </c>
      <c r="R39" s="115" t="s">
        <v>69</v>
      </c>
      <c r="S39" s="114">
        <f>$G$39*T39</f>
        <v>17.423152910491542</v>
      </c>
      <c r="T39" s="28">
        <f t="shared" si="8"/>
        <v>96.131723489049747</v>
      </c>
      <c r="U39" s="113"/>
      <c r="V39" s="488"/>
      <c r="W39" s="465"/>
      <c r="X39" s="116" t="s">
        <v>70</v>
      </c>
      <c r="Y39" s="115" t="s">
        <v>69</v>
      </c>
      <c r="Z39" s="114">
        <f>$G$39*AA39</f>
        <v>3182.0265506841401</v>
      </c>
      <c r="AA39" s="28">
        <f t="shared" si="9"/>
        <v>17556.736032603221</v>
      </c>
      <c r="AB39" s="362"/>
      <c r="AC39" s="512"/>
      <c r="AD39" s="464"/>
      <c r="AE39" s="201" t="s">
        <v>70</v>
      </c>
      <c r="AF39" s="115" t="s">
        <v>69</v>
      </c>
      <c r="AG39" s="114">
        <f>$G$39*AH39</f>
        <v>14.630007129582257</v>
      </c>
      <c r="AH39" s="28">
        <f t="shared" si="10"/>
        <v>80.720625437256203</v>
      </c>
      <c r="AI39" s="358" t="s">
        <v>148</v>
      </c>
      <c r="AJ39" s="472"/>
      <c r="AK39" s="465"/>
      <c r="AL39" s="116" t="s">
        <v>70</v>
      </c>
      <c r="AM39" s="115" t="s">
        <v>69</v>
      </c>
      <c r="AN39" s="114">
        <f>$G$39*AO39</f>
        <v>541.3102637945434</v>
      </c>
      <c r="AO39" s="28">
        <f t="shared" si="11"/>
        <v>2986.6631411784792</v>
      </c>
      <c r="AP39" s="113"/>
      <c r="AQ39" s="4">
        <f t="shared" si="0"/>
        <v>8.9786791477308725E-6</v>
      </c>
    </row>
    <row r="40" spans="1:43" ht="15" hidden="1" customHeight="1" thickBot="1" x14ac:dyDescent="0.25">
      <c r="A40" s="488"/>
      <c r="B40" s="465"/>
      <c r="C40" s="111" t="s">
        <v>2</v>
      </c>
      <c r="D40" s="110"/>
      <c r="E40" s="109"/>
      <c r="F40" s="112">
        <f>SUM(F33:F39)</f>
        <v>3372021.0839089933</v>
      </c>
      <c r="G40" s="108">
        <f>SUM(G28:G39)</f>
        <v>0.45194603682670131</v>
      </c>
      <c r="H40" s="488"/>
      <c r="I40" s="465"/>
      <c r="J40" s="111" t="s">
        <v>2</v>
      </c>
      <c r="K40" s="110"/>
      <c r="L40" s="109"/>
      <c r="M40" s="68">
        <f>1744645/460*458</f>
        <v>1737059.5869565217</v>
      </c>
      <c r="N40" s="108">
        <f>SUM(N28:N39)</f>
        <v>0</v>
      </c>
      <c r="O40" s="488"/>
      <c r="P40" s="465"/>
      <c r="Q40" s="111" t="s">
        <v>2</v>
      </c>
      <c r="R40" s="110"/>
      <c r="S40" s="109"/>
      <c r="T40" s="68">
        <f>1744645/460*2</f>
        <v>7585.413043478261</v>
      </c>
      <c r="U40" s="108">
        <f>SUM(U28:U39)</f>
        <v>0</v>
      </c>
      <c r="V40" s="488"/>
      <c r="W40" s="465"/>
      <c r="X40" s="111" t="s">
        <v>2</v>
      </c>
      <c r="Y40" s="110"/>
      <c r="Z40" s="109"/>
      <c r="AA40" s="68">
        <f>1627376.08/SUM($J$2:$L$2)*J2</f>
        <v>1385339.715851272</v>
      </c>
      <c r="AB40" s="360">
        <f>SUM(AB28:AB39)</f>
        <v>0</v>
      </c>
      <c r="AC40" s="512"/>
      <c r="AD40" s="464"/>
      <c r="AE40" s="203" t="s">
        <v>2</v>
      </c>
      <c r="AF40" s="110"/>
      <c r="AG40" s="109"/>
      <c r="AH40" s="68">
        <f>1627376.08/SUM(J2:L2)*K2</f>
        <v>6369.3780039138946</v>
      </c>
      <c r="AI40" s="108">
        <f>SUM(AI28:AI39)</f>
        <v>0</v>
      </c>
      <c r="AJ40" s="472"/>
      <c r="AK40" s="465"/>
      <c r="AL40" s="111" t="s">
        <v>2</v>
      </c>
      <c r="AM40" s="110"/>
      <c r="AN40" s="109"/>
      <c r="AO40" s="68">
        <f>1627376.08/SUM(J2:L2)*L2</f>
        <v>235666.98614481412</v>
      </c>
      <c r="AP40" s="108">
        <f>SUM(AP28:AP39)</f>
        <v>0</v>
      </c>
      <c r="AQ40" s="4">
        <f t="shared" si="0"/>
        <v>0</v>
      </c>
    </row>
    <row r="41" spans="1:43" ht="15" thickBot="1" x14ac:dyDescent="0.25">
      <c r="A41" s="488"/>
      <c r="B41" s="464"/>
      <c r="C41" s="471" t="s">
        <v>68</v>
      </c>
      <c r="D41" s="471"/>
      <c r="E41" s="471"/>
      <c r="F41" s="471"/>
      <c r="G41" s="472"/>
      <c r="H41" s="488"/>
      <c r="I41" s="464"/>
      <c r="J41" s="471" t="s">
        <v>68</v>
      </c>
      <c r="K41" s="471"/>
      <c r="L41" s="471"/>
      <c r="M41" s="471"/>
      <c r="N41" s="472"/>
      <c r="O41" s="488"/>
      <c r="P41" s="464"/>
      <c r="Q41" s="471" t="s">
        <v>68</v>
      </c>
      <c r="R41" s="471"/>
      <c r="S41" s="471"/>
      <c r="T41" s="471"/>
      <c r="U41" s="472"/>
      <c r="V41" s="488"/>
      <c r="W41" s="464"/>
      <c r="X41" s="471" t="s">
        <v>68</v>
      </c>
      <c r="Y41" s="471"/>
      <c r="Z41" s="471"/>
      <c r="AA41" s="471"/>
      <c r="AB41" s="471"/>
      <c r="AC41" s="512"/>
      <c r="AD41" s="464"/>
      <c r="AE41" s="471" t="s">
        <v>68</v>
      </c>
      <c r="AF41" s="471"/>
      <c r="AG41" s="471"/>
      <c r="AH41" s="471"/>
      <c r="AI41" s="472"/>
      <c r="AJ41" s="472"/>
      <c r="AK41" s="464"/>
      <c r="AL41" s="471" t="s">
        <v>68</v>
      </c>
      <c r="AM41" s="471"/>
      <c r="AN41" s="471"/>
      <c r="AO41" s="471"/>
      <c r="AP41" s="472"/>
      <c r="AQ41" s="4">
        <f t="shared" si="0"/>
        <v>0</v>
      </c>
    </row>
    <row r="42" spans="1:43" ht="78.75" customHeight="1" thickBot="1" x14ac:dyDescent="0.25">
      <c r="A42" s="488"/>
      <c r="B42" s="464"/>
      <c r="C42" s="105" t="s">
        <v>67</v>
      </c>
      <c r="D42" s="104" t="s">
        <v>57</v>
      </c>
      <c r="E42" s="103">
        <v>21</v>
      </c>
      <c r="F42" s="107">
        <v>43968</v>
      </c>
      <c r="G42" s="101">
        <f>E42/F42</f>
        <v>4.7762008733624452E-4</v>
      </c>
      <c r="H42" s="488"/>
      <c r="I42" s="464"/>
      <c r="J42" s="105" t="s">
        <v>67</v>
      </c>
      <c r="K42" s="104" t="s">
        <v>57</v>
      </c>
      <c r="L42" s="103">
        <f>$G$42*M42-0.1</f>
        <v>10.71791915931815</v>
      </c>
      <c r="M42" s="20">
        <f t="shared" ref="M42:M51" si="12">$M$52/$F$52*F42</f>
        <v>22649.631885566687</v>
      </c>
      <c r="N42" s="106"/>
      <c r="O42" s="488"/>
      <c r="P42" s="464"/>
      <c r="Q42" s="105" t="s">
        <v>67</v>
      </c>
      <c r="R42" s="104" t="s">
        <v>57</v>
      </c>
      <c r="S42" s="103">
        <f>$G$42*T42+0.1</f>
        <v>0.14723982165641114</v>
      </c>
      <c r="T42" s="20">
        <f t="shared" ref="T42:T51" si="13">$T$52/$F$52*F42</f>
        <v>98.906689456623099</v>
      </c>
      <c r="U42" s="59"/>
      <c r="V42" s="488"/>
      <c r="W42" s="464"/>
      <c r="X42" s="105" t="s">
        <v>67</v>
      </c>
      <c r="Y42" s="104" t="s">
        <v>57</v>
      </c>
      <c r="Z42" s="103">
        <f>$G$42*AA42</f>
        <v>8.6275065426146096</v>
      </c>
      <c r="AA42" s="20">
        <f t="shared" ref="AA42:AA51" si="14">$AA$52/$F$52*F42</f>
        <v>18063.533698365674</v>
      </c>
      <c r="AB42" s="107"/>
      <c r="AC42" s="512"/>
      <c r="AD42" s="464"/>
      <c r="AE42" s="105" t="s">
        <v>67</v>
      </c>
      <c r="AF42" s="104" t="s">
        <v>57</v>
      </c>
      <c r="AG42" s="103">
        <f>$G$42*AH42+0.1</f>
        <v>0.13966669674765339</v>
      </c>
      <c r="AH42" s="20">
        <f t="shared" ref="AH42:AH51" si="15">$AH$52/$F$52*F42</f>
        <v>83.050729647658272</v>
      </c>
      <c r="AI42" s="59" t="s">
        <v>150</v>
      </c>
      <c r="AJ42" s="472"/>
      <c r="AK42" s="464"/>
      <c r="AL42" s="105" t="s">
        <v>67</v>
      </c>
      <c r="AM42" s="104" t="s">
        <v>57</v>
      </c>
      <c r="AN42" s="103">
        <f>$G$42*AO42</f>
        <v>1.467667779663175</v>
      </c>
      <c r="AO42" s="20">
        <f t="shared" ref="AO42:AO51" si="16">$AO$52/$F$52*F42</f>
        <v>3072.8769969633563</v>
      </c>
      <c r="AP42" s="59"/>
      <c r="AQ42" s="4">
        <f t="shared" ref="AQ42:AQ73" si="17">E42-L42-S42-Z42-AG42-AN42</f>
        <v>-9.9999999999999201E-2</v>
      </c>
    </row>
    <row r="43" spans="1:43" ht="39" thickBot="1" x14ac:dyDescent="0.25">
      <c r="A43" s="488"/>
      <c r="B43" s="464"/>
      <c r="C43" s="76" t="s">
        <v>66</v>
      </c>
      <c r="D43" s="75" t="s">
        <v>65</v>
      </c>
      <c r="E43" s="93">
        <v>30260</v>
      </c>
      <c r="F43" s="77">
        <v>7000</v>
      </c>
      <c r="G43" s="101">
        <f>E43/F43</f>
        <v>4.322857142857143</v>
      </c>
      <c r="H43" s="488"/>
      <c r="I43" s="464"/>
      <c r="J43" s="76" t="s">
        <v>66</v>
      </c>
      <c r="K43" s="75" t="s">
        <v>65</v>
      </c>
      <c r="L43" s="72">
        <f>$G$43*M43</f>
        <v>15588.10636956987</v>
      </c>
      <c r="M43" s="20">
        <f t="shared" si="12"/>
        <v>3605.9730531060504</v>
      </c>
      <c r="N43" s="91"/>
      <c r="O43" s="488"/>
      <c r="P43" s="464"/>
      <c r="Q43" s="76" t="s">
        <v>66</v>
      </c>
      <c r="R43" s="75" t="s">
        <v>65</v>
      </c>
      <c r="S43" s="72">
        <f>$G$43*T43</f>
        <v>68.070333491571489</v>
      </c>
      <c r="T43" s="20">
        <f t="shared" si="13"/>
        <v>15.746607218803714</v>
      </c>
      <c r="U43" s="53"/>
      <c r="V43" s="488"/>
      <c r="W43" s="464"/>
      <c r="X43" s="76" t="s">
        <v>66</v>
      </c>
      <c r="Y43" s="75" t="s">
        <v>65</v>
      </c>
      <c r="Z43" s="72">
        <f>$G$43*AA43</f>
        <v>12431.826094262766</v>
      </c>
      <c r="AA43" s="20">
        <f t="shared" si="14"/>
        <v>2875.8355142048699</v>
      </c>
      <c r="AB43" s="77"/>
      <c r="AC43" s="512"/>
      <c r="AD43" s="464"/>
      <c r="AE43" s="76" t="s">
        <v>66</v>
      </c>
      <c r="AF43" s="75" t="s">
        <v>65</v>
      </c>
      <c r="AG43" s="72">
        <f>$G$43*AH43</f>
        <v>57.157821123047199</v>
      </c>
      <c r="AH43" s="20">
        <f t="shared" si="15"/>
        <v>13.222232249217791</v>
      </c>
      <c r="AI43" s="53" t="s">
        <v>150</v>
      </c>
      <c r="AJ43" s="472"/>
      <c r="AK43" s="464"/>
      <c r="AL43" s="76" t="s">
        <v>66</v>
      </c>
      <c r="AM43" s="75" t="s">
        <v>65</v>
      </c>
      <c r="AN43" s="72">
        <f>$G$43*AO43</f>
        <v>2114.8393815527465</v>
      </c>
      <c r="AO43" s="20">
        <f t="shared" si="16"/>
        <v>489.22259322105833</v>
      </c>
      <c r="AP43" s="53"/>
      <c r="AQ43" s="4">
        <f t="shared" si="17"/>
        <v>0</v>
      </c>
    </row>
    <row r="44" spans="1:43" s="95" customFormat="1" ht="51" x14ac:dyDescent="0.2">
      <c r="A44" s="488"/>
      <c r="B44" s="464"/>
      <c r="C44" s="99" t="s">
        <v>64</v>
      </c>
      <c r="D44" s="98" t="s">
        <v>63</v>
      </c>
      <c r="E44" s="93">
        <v>82355.5</v>
      </c>
      <c r="F44" s="102">
        <v>65000</v>
      </c>
      <c r="G44" s="101">
        <f>E44/F44</f>
        <v>1.2670076923076923</v>
      </c>
      <c r="H44" s="488"/>
      <c r="I44" s="464"/>
      <c r="J44" s="99" t="s">
        <v>64</v>
      </c>
      <c r="K44" s="98" t="s">
        <v>63</v>
      </c>
      <c r="L44" s="72">
        <f>$G$44*M44</f>
        <v>42424.530539296473</v>
      </c>
      <c r="M44" s="97">
        <f t="shared" si="12"/>
        <v>33484.035493127609</v>
      </c>
      <c r="N44" s="100"/>
      <c r="O44" s="488"/>
      <c r="P44" s="464"/>
      <c r="Q44" s="99" t="s">
        <v>64</v>
      </c>
      <c r="R44" s="98" t="s">
        <v>63</v>
      </c>
      <c r="S44" s="72">
        <f>$G$44*T44</f>
        <v>185.2599586868842</v>
      </c>
      <c r="T44" s="97">
        <f t="shared" si="13"/>
        <v>146.21849560317736</v>
      </c>
      <c r="U44" s="96"/>
      <c r="V44" s="488"/>
      <c r="W44" s="464"/>
      <c r="X44" s="99" t="s">
        <v>64</v>
      </c>
      <c r="Y44" s="98" t="s">
        <v>63</v>
      </c>
      <c r="Z44" s="72">
        <f>$G$44*AA44</f>
        <v>33834.41024144274</v>
      </c>
      <c r="AA44" s="97">
        <f t="shared" si="14"/>
        <v>26704.186917616651</v>
      </c>
      <c r="AB44" s="102"/>
      <c r="AC44" s="512"/>
      <c r="AD44" s="464"/>
      <c r="AE44" s="99" t="s">
        <v>64</v>
      </c>
      <c r="AF44" s="98" t="s">
        <v>63</v>
      </c>
      <c r="AG44" s="72">
        <f>$G$44*AH44</f>
        <v>155.56050685720797</v>
      </c>
      <c r="AH44" s="97">
        <f t="shared" si="15"/>
        <v>122.77787088559379</v>
      </c>
      <c r="AI44" s="96" t="s">
        <v>150</v>
      </c>
      <c r="AJ44" s="472"/>
      <c r="AK44" s="464"/>
      <c r="AL44" s="99" t="s">
        <v>64</v>
      </c>
      <c r="AM44" s="98" t="s">
        <v>63</v>
      </c>
      <c r="AN44" s="72">
        <f>$G$44*AO44</f>
        <v>5755.7387537166951</v>
      </c>
      <c r="AO44" s="97">
        <f t="shared" si="16"/>
        <v>4542.7812227669701</v>
      </c>
      <c r="AP44" s="96"/>
      <c r="AQ44" s="4">
        <f t="shared" si="17"/>
        <v>0</v>
      </c>
    </row>
    <row r="45" spans="1:43" ht="25.5" x14ac:dyDescent="0.2">
      <c r="A45" s="488"/>
      <c r="B45" s="464"/>
      <c r="C45" s="76" t="s">
        <v>62</v>
      </c>
      <c r="D45" s="75" t="s">
        <v>61</v>
      </c>
      <c r="E45" s="72">
        <f>146.256+129.888</f>
        <v>276.14400000000001</v>
      </c>
      <c r="F45" s="77">
        <f>109868.36+123713.56</f>
        <v>233581.91999999998</v>
      </c>
      <c r="G45" s="92">
        <f>E45/F45</f>
        <v>1.1822147878568685E-3</v>
      </c>
      <c r="H45" s="488"/>
      <c r="I45" s="464"/>
      <c r="J45" s="76" t="s">
        <v>62</v>
      </c>
      <c r="K45" s="75" t="s">
        <v>61</v>
      </c>
      <c r="L45" s="72">
        <f>$G$45*M45</f>
        <v>142.25254611098816</v>
      </c>
      <c r="M45" s="20">
        <f t="shared" si="12"/>
        <v>120327.15845896759</v>
      </c>
      <c r="N45" s="91"/>
      <c r="O45" s="488"/>
      <c r="P45" s="464"/>
      <c r="Q45" s="76" t="s">
        <v>62</v>
      </c>
      <c r="R45" s="75" t="s">
        <v>61</v>
      </c>
      <c r="S45" s="72">
        <f>$G$45*T45</f>
        <v>0.62119015768990482</v>
      </c>
      <c r="T45" s="20">
        <f t="shared" si="13"/>
        <v>525.44610680771882</v>
      </c>
      <c r="U45" s="53"/>
      <c r="V45" s="488"/>
      <c r="W45" s="464"/>
      <c r="X45" s="76" t="s">
        <v>62</v>
      </c>
      <c r="Y45" s="75" t="s">
        <v>61</v>
      </c>
      <c r="Z45" s="72">
        <f>$G$45*AA45</f>
        <v>113.44924603351281</v>
      </c>
      <c r="AA45" s="20">
        <f t="shared" si="14"/>
        <v>95963.311573165818</v>
      </c>
      <c r="AB45" s="77"/>
      <c r="AC45" s="512"/>
      <c r="AD45" s="464"/>
      <c r="AE45" s="76" t="s">
        <v>62</v>
      </c>
      <c r="AF45" s="75" t="s">
        <v>61</v>
      </c>
      <c r="AG45" s="72">
        <f>$G$45*AH45</f>
        <v>0.52160572888971402</v>
      </c>
      <c r="AH45" s="20">
        <f t="shared" si="15"/>
        <v>441.21062792260142</v>
      </c>
      <c r="AI45" s="53" t="s">
        <v>150</v>
      </c>
      <c r="AJ45" s="472"/>
      <c r="AK45" s="464"/>
      <c r="AL45" s="76" t="s">
        <v>62</v>
      </c>
      <c r="AM45" s="75" t="s">
        <v>61</v>
      </c>
      <c r="AN45" s="72">
        <f>$G$45*AO45</f>
        <v>19.299411968919422</v>
      </c>
      <c r="AO45" s="20">
        <f t="shared" si="16"/>
        <v>16324.793233136255</v>
      </c>
      <c r="AP45" s="53"/>
      <c r="AQ45" s="4">
        <f t="shared" si="17"/>
        <v>0</v>
      </c>
    </row>
    <row r="46" spans="1:43" x14ac:dyDescent="0.2">
      <c r="A46" s="488"/>
      <c r="B46" s="464"/>
      <c r="C46" s="76" t="s">
        <v>60</v>
      </c>
      <c r="D46" s="75" t="s">
        <v>59</v>
      </c>
      <c r="E46" s="72"/>
      <c r="F46" s="77">
        <f>13663.3+19504.1</f>
        <v>33167.399999999994</v>
      </c>
      <c r="G46" s="92"/>
      <c r="H46" s="488"/>
      <c r="I46" s="464"/>
      <c r="J46" s="76" t="s">
        <v>60</v>
      </c>
      <c r="K46" s="75" t="s">
        <v>59</v>
      </c>
      <c r="L46" s="72"/>
      <c r="M46" s="20">
        <f t="shared" si="12"/>
        <v>17085.821520227084</v>
      </c>
      <c r="N46" s="91"/>
      <c r="O46" s="488"/>
      <c r="P46" s="464"/>
      <c r="Q46" s="76" t="s">
        <v>60</v>
      </c>
      <c r="R46" s="75" t="s">
        <v>59</v>
      </c>
      <c r="S46" s="72"/>
      <c r="T46" s="20">
        <f t="shared" si="13"/>
        <v>74.61057432413574</v>
      </c>
      <c r="U46" s="53"/>
      <c r="V46" s="488"/>
      <c r="W46" s="464"/>
      <c r="X46" s="76" t="s">
        <v>60</v>
      </c>
      <c r="Y46" s="75" t="s">
        <v>59</v>
      </c>
      <c r="Z46" s="72"/>
      <c r="AA46" s="20">
        <f t="shared" si="14"/>
        <v>13626.283833405512</v>
      </c>
      <c r="AB46" s="77"/>
      <c r="AC46" s="512"/>
      <c r="AD46" s="464"/>
      <c r="AE46" s="76" t="s">
        <v>60</v>
      </c>
      <c r="AF46" s="75" t="s">
        <v>59</v>
      </c>
      <c r="AG46" s="72"/>
      <c r="AH46" s="20">
        <f t="shared" si="15"/>
        <v>62.649580843243726</v>
      </c>
      <c r="AI46" s="53" t="s">
        <v>150</v>
      </c>
      <c r="AJ46" s="472"/>
      <c r="AK46" s="464"/>
      <c r="AL46" s="76" t="s">
        <v>60</v>
      </c>
      <c r="AM46" s="75" t="s">
        <v>59</v>
      </c>
      <c r="AN46" s="72"/>
      <c r="AO46" s="20">
        <f t="shared" si="16"/>
        <v>2318.0344912000182</v>
      </c>
      <c r="AP46" s="53"/>
      <c r="AQ46" s="4">
        <f t="shared" si="17"/>
        <v>0</v>
      </c>
    </row>
    <row r="47" spans="1:43" ht="51" x14ac:dyDescent="0.2">
      <c r="A47" s="488"/>
      <c r="B47" s="464"/>
      <c r="C47" s="76" t="s">
        <v>58</v>
      </c>
      <c r="D47" s="75" t="s">
        <v>57</v>
      </c>
      <c r="E47" s="72">
        <v>22</v>
      </c>
      <c r="F47" s="77">
        <v>150144</v>
      </c>
      <c r="G47" s="92">
        <f>E47/F47</f>
        <v>1.4652600170502985E-4</v>
      </c>
      <c r="H47" s="488"/>
      <c r="I47" s="464"/>
      <c r="J47" s="76" t="s">
        <v>58</v>
      </c>
      <c r="K47" s="75" t="s">
        <v>57</v>
      </c>
      <c r="L47" s="72">
        <f>$G$47*M47-0.1</f>
        <v>11.23305816690473</v>
      </c>
      <c r="M47" s="20">
        <f t="shared" si="12"/>
        <v>77345.031155079254</v>
      </c>
      <c r="N47" s="91"/>
      <c r="O47" s="488"/>
      <c r="P47" s="464"/>
      <c r="Q47" s="76" t="s">
        <v>58</v>
      </c>
      <c r="R47" s="75" t="s">
        <v>57</v>
      </c>
      <c r="S47" s="72">
        <f>$G$47*T47+0.1</f>
        <v>0.14948933697338312</v>
      </c>
      <c r="T47" s="20">
        <f t="shared" si="13"/>
        <v>337.75122775143785</v>
      </c>
      <c r="U47" s="53"/>
      <c r="V47" s="488"/>
      <c r="W47" s="464"/>
      <c r="X47" s="76" t="s">
        <v>58</v>
      </c>
      <c r="Y47" s="75" t="s">
        <v>57</v>
      </c>
      <c r="Z47" s="72">
        <f>$G$47*AA47-0.1</f>
        <v>8.9383401875010211</v>
      </c>
      <c r="AA47" s="20">
        <f t="shared" si="14"/>
        <v>61684.206777825144</v>
      </c>
      <c r="AB47" s="77"/>
      <c r="AC47" s="512"/>
      <c r="AD47" s="464"/>
      <c r="AE47" s="76" t="s">
        <v>58</v>
      </c>
      <c r="AF47" s="75" t="s">
        <v>57</v>
      </c>
      <c r="AG47" s="72">
        <f>$G$47*AH47+0.1</f>
        <v>0.1415555870689702</v>
      </c>
      <c r="AH47" s="20">
        <f t="shared" si="15"/>
        <v>283.6055484037937</v>
      </c>
      <c r="AI47" s="53" t="s">
        <v>150</v>
      </c>
      <c r="AJ47" s="472"/>
      <c r="AK47" s="464"/>
      <c r="AL47" s="76" t="s">
        <v>58</v>
      </c>
      <c r="AM47" s="75" t="s">
        <v>57</v>
      </c>
      <c r="AN47" s="72">
        <f>$G$47*AO47</f>
        <v>1.5375567215518977</v>
      </c>
      <c r="AO47" s="20">
        <f t="shared" si="16"/>
        <v>10493.405290940369</v>
      </c>
      <c r="AP47" s="53"/>
      <c r="AQ47" s="4">
        <f t="shared" si="17"/>
        <v>-2.2204460492503131E-15</v>
      </c>
    </row>
    <row r="48" spans="1:43" ht="25.5" x14ac:dyDescent="0.2">
      <c r="A48" s="488"/>
      <c r="B48" s="464"/>
      <c r="C48" s="76" t="s">
        <v>56</v>
      </c>
      <c r="D48" s="75" t="s">
        <v>12</v>
      </c>
      <c r="E48" s="72">
        <v>1</v>
      </c>
      <c r="F48" s="77">
        <v>40000</v>
      </c>
      <c r="G48" s="92">
        <f>E48/F48</f>
        <v>2.5000000000000001E-5</v>
      </c>
      <c r="H48" s="488"/>
      <c r="I48" s="464"/>
      <c r="J48" s="76" t="s">
        <v>56</v>
      </c>
      <c r="K48" s="75" t="s">
        <v>12</v>
      </c>
      <c r="L48" s="72">
        <f>$G$48*M48-0.1</f>
        <v>0.41513900758657873</v>
      </c>
      <c r="M48" s="20">
        <f t="shared" si="12"/>
        <v>20605.560303463146</v>
      </c>
      <c r="N48" s="91"/>
      <c r="O48" s="488"/>
      <c r="P48" s="464"/>
      <c r="Q48" s="76" t="s">
        <v>56</v>
      </c>
      <c r="R48" s="75" t="s">
        <v>12</v>
      </c>
      <c r="S48" s="72">
        <f>$G$48*T48+0.1</f>
        <v>0.10224951531697196</v>
      </c>
      <c r="T48" s="20">
        <f t="shared" si="13"/>
        <v>89.980612678878373</v>
      </c>
      <c r="U48" s="53"/>
      <c r="V48" s="488"/>
      <c r="W48" s="464"/>
      <c r="X48" s="76" t="s">
        <v>56</v>
      </c>
      <c r="Y48" s="75" t="s">
        <v>12</v>
      </c>
      <c r="Z48" s="72">
        <f>$G$48*AA48-0.1</f>
        <v>0.31083364488640997</v>
      </c>
      <c r="AA48" s="20">
        <f t="shared" si="14"/>
        <v>16433.3457954564</v>
      </c>
      <c r="AB48" s="77"/>
      <c r="AC48" s="512"/>
      <c r="AD48" s="464"/>
      <c r="AE48" s="76" t="s">
        <v>56</v>
      </c>
      <c r="AF48" s="75" t="s">
        <v>12</v>
      </c>
      <c r="AG48" s="72">
        <f>$G$48*AH48+0.1</f>
        <v>0.10188889032131683</v>
      </c>
      <c r="AH48" s="20">
        <f t="shared" si="15"/>
        <v>75.555612852673093</v>
      </c>
      <c r="AI48" s="53" t="s">
        <v>150</v>
      </c>
      <c r="AJ48" s="472"/>
      <c r="AK48" s="464"/>
      <c r="AL48" s="76" t="s">
        <v>56</v>
      </c>
      <c r="AM48" s="75" t="s">
        <v>12</v>
      </c>
      <c r="AN48" s="72">
        <f>$G$48*AO48</f>
        <v>6.9888941888722619E-2</v>
      </c>
      <c r="AO48" s="20">
        <f t="shared" si="16"/>
        <v>2795.5576755489046</v>
      </c>
      <c r="AP48" s="53"/>
      <c r="AQ48" s="4">
        <f t="shared" si="17"/>
        <v>-1.1102230246251565E-16</v>
      </c>
    </row>
    <row r="49" spans="1:43" x14ac:dyDescent="0.2">
      <c r="A49" s="488"/>
      <c r="B49" s="464"/>
      <c r="C49" s="76"/>
      <c r="D49" s="75"/>
      <c r="E49" s="72"/>
      <c r="F49" s="77"/>
      <c r="G49" s="92"/>
      <c r="H49" s="488"/>
      <c r="I49" s="464"/>
      <c r="J49" s="76"/>
      <c r="K49" s="75"/>
      <c r="L49" s="94"/>
      <c r="M49" s="20">
        <f t="shared" si="12"/>
        <v>0</v>
      </c>
      <c r="N49" s="91"/>
      <c r="O49" s="488"/>
      <c r="P49" s="464"/>
      <c r="Q49" s="76"/>
      <c r="R49" s="75"/>
      <c r="S49" s="72"/>
      <c r="T49" s="20">
        <f t="shared" si="13"/>
        <v>0</v>
      </c>
      <c r="U49" s="53"/>
      <c r="V49" s="488"/>
      <c r="W49" s="464"/>
      <c r="X49" s="76"/>
      <c r="Y49" s="75"/>
      <c r="Z49" s="72"/>
      <c r="AA49" s="20">
        <f t="shared" si="14"/>
        <v>0</v>
      </c>
      <c r="AB49" s="77"/>
      <c r="AC49" s="512"/>
      <c r="AD49" s="464"/>
      <c r="AE49" s="76"/>
      <c r="AF49" s="75"/>
      <c r="AG49" s="72"/>
      <c r="AH49" s="20">
        <f t="shared" si="15"/>
        <v>0</v>
      </c>
      <c r="AI49" s="53"/>
      <c r="AJ49" s="472"/>
      <c r="AK49" s="464"/>
      <c r="AL49" s="76"/>
      <c r="AM49" s="75"/>
      <c r="AN49" s="72"/>
      <c r="AO49" s="20">
        <f t="shared" si="16"/>
        <v>0</v>
      </c>
      <c r="AP49" s="53"/>
      <c r="AQ49" s="4">
        <f t="shared" si="17"/>
        <v>0</v>
      </c>
    </row>
    <row r="50" spans="1:43" ht="102" x14ac:dyDescent="0.2">
      <c r="A50" s="488"/>
      <c r="B50" s="464"/>
      <c r="C50" s="76" t="s">
        <v>55</v>
      </c>
      <c r="D50" s="75" t="s">
        <v>8</v>
      </c>
      <c r="E50" s="93">
        <f>3393+3637.5</f>
        <v>7030.5</v>
      </c>
      <c r="F50" s="77">
        <f>60000+36000</f>
        <v>96000</v>
      </c>
      <c r="G50" s="92">
        <f>E50/F50</f>
        <v>7.3234375000000004E-2</v>
      </c>
      <c r="H50" s="488"/>
      <c r="I50" s="464"/>
      <c r="J50" s="76" t="s">
        <v>55</v>
      </c>
      <c r="K50" s="75" t="s">
        <v>8</v>
      </c>
      <c r="L50" s="72">
        <f>$G$50*M50</f>
        <v>3621.6847928374409</v>
      </c>
      <c r="M50" s="20">
        <f t="shared" si="12"/>
        <v>49453.344728311546</v>
      </c>
      <c r="N50" s="91"/>
      <c r="O50" s="488"/>
      <c r="P50" s="464"/>
      <c r="Q50" s="76" t="s">
        <v>55</v>
      </c>
      <c r="R50" s="75" t="s">
        <v>8</v>
      </c>
      <c r="S50" s="72">
        <f>$G$50*T50</f>
        <v>15.815217435971361</v>
      </c>
      <c r="T50" s="20">
        <f t="shared" si="13"/>
        <v>215.95347042930808</v>
      </c>
      <c r="U50" s="53"/>
      <c r="V50" s="488"/>
      <c r="W50" s="464"/>
      <c r="X50" s="76" t="s">
        <v>55</v>
      </c>
      <c r="Y50" s="75" t="s">
        <v>8</v>
      </c>
      <c r="Z50" s="90">
        <f>$G$50*AA50</f>
        <v>2888.3659403739057</v>
      </c>
      <c r="AA50" s="20">
        <f t="shared" si="14"/>
        <v>39440.029909095363</v>
      </c>
      <c r="AB50" s="77"/>
      <c r="AC50" s="512"/>
      <c r="AD50" s="464"/>
      <c r="AE50" s="76" t="s">
        <v>55</v>
      </c>
      <c r="AF50" s="75" t="s">
        <v>8</v>
      </c>
      <c r="AG50" s="72">
        <f>$G$50*AH50</f>
        <v>13.279843404017955</v>
      </c>
      <c r="AH50" s="20">
        <f t="shared" si="15"/>
        <v>181.33347084641542</v>
      </c>
      <c r="AI50" s="53" t="s">
        <v>150</v>
      </c>
      <c r="AJ50" s="472"/>
      <c r="AK50" s="464"/>
      <c r="AL50" s="76" t="s">
        <v>55</v>
      </c>
      <c r="AM50" s="75" t="s">
        <v>8</v>
      </c>
      <c r="AN50" s="72">
        <f>$G$50*AO50</f>
        <v>491.3542059486644</v>
      </c>
      <c r="AO50" s="20">
        <f t="shared" si="16"/>
        <v>6709.3384213173713</v>
      </c>
      <c r="AP50" s="53"/>
      <c r="AQ50" s="4">
        <f t="shared" si="17"/>
        <v>0</v>
      </c>
    </row>
    <row r="51" spans="1:43" ht="243" thickBot="1" x14ac:dyDescent="0.25">
      <c r="A51" s="488"/>
      <c r="B51" s="464"/>
      <c r="C51" s="86" t="s">
        <v>54</v>
      </c>
      <c r="D51" s="85" t="s">
        <v>40</v>
      </c>
      <c r="E51" s="84">
        <f>161+231+65+18+21+5</f>
        <v>501</v>
      </c>
      <c r="F51" s="89">
        <f>71472+31915.8+4422.32+6170.39+18774+45892+30000</f>
        <v>208646.51</v>
      </c>
      <c r="G51" s="88">
        <f>E51/F51</f>
        <v>2.4011904153105651E-3</v>
      </c>
      <c r="H51" s="488"/>
      <c r="I51" s="464"/>
      <c r="J51" s="86" t="s">
        <v>54</v>
      </c>
      <c r="K51" s="85" t="s">
        <v>40</v>
      </c>
      <c r="L51" s="84">
        <f>$G$51*M51</f>
        <v>258.08464280087588</v>
      </c>
      <c r="M51" s="20">
        <f t="shared" si="12"/>
        <v>107481.95609780315</v>
      </c>
      <c r="N51" s="87"/>
      <c r="O51" s="488"/>
      <c r="P51" s="464"/>
      <c r="Q51" s="86" t="s">
        <v>54</v>
      </c>
      <c r="R51" s="85" t="s">
        <v>40</v>
      </c>
      <c r="S51" s="84">
        <f>$G$51*T51</f>
        <v>1.1270071738029517</v>
      </c>
      <c r="T51" s="20">
        <f t="shared" si="13"/>
        <v>469.3535200777431</v>
      </c>
      <c r="U51" s="83"/>
      <c r="V51" s="488"/>
      <c r="W51" s="464"/>
      <c r="X51" s="86" t="s">
        <v>54</v>
      </c>
      <c r="Y51" s="85" t="s">
        <v>40</v>
      </c>
      <c r="Z51" s="84">
        <f>$G$51*AA51</f>
        <v>205.82765608809143</v>
      </c>
      <c r="AA51" s="20">
        <f t="shared" si="14"/>
        <v>85719.006196128801</v>
      </c>
      <c r="AB51" s="89"/>
      <c r="AC51" s="512"/>
      <c r="AD51" s="464"/>
      <c r="AE51" s="86" t="s">
        <v>54</v>
      </c>
      <c r="AF51" s="85" t="s">
        <v>40</v>
      </c>
      <c r="AG51" s="84">
        <f>$G$51*AH51</f>
        <v>0.94633405097973056</v>
      </c>
      <c r="AH51" s="20">
        <f t="shared" si="15"/>
        <v>394.11037331553467</v>
      </c>
      <c r="AI51" s="83" t="s">
        <v>150</v>
      </c>
      <c r="AJ51" s="472"/>
      <c r="AK51" s="464"/>
      <c r="AL51" s="86" t="s">
        <v>54</v>
      </c>
      <c r="AM51" s="85" t="s">
        <v>40</v>
      </c>
      <c r="AN51" s="84">
        <f>$G$51*AO51</f>
        <v>35.014359886250034</v>
      </c>
      <c r="AO51" s="20">
        <f t="shared" si="16"/>
        <v>14582.083812674784</v>
      </c>
      <c r="AP51" s="83"/>
      <c r="AQ51" s="4">
        <f t="shared" si="17"/>
        <v>0</v>
      </c>
    </row>
    <row r="52" spans="1:43" ht="15" hidden="1" thickBot="1" x14ac:dyDescent="0.25">
      <c r="A52" s="488"/>
      <c r="B52" s="465"/>
      <c r="C52" s="81" t="s">
        <v>2</v>
      </c>
      <c r="D52" s="80"/>
      <c r="E52" s="79"/>
      <c r="F52" s="82">
        <f>SUM(F42:F51)</f>
        <v>877507.83</v>
      </c>
      <c r="G52" s="78">
        <f>SUM(G42:G51)</f>
        <v>5.6673317614570449</v>
      </c>
      <c r="H52" s="488"/>
      <c r="I52" s="465"/>
      <c r="J52" s="81" t="s">
        <v>2</v>
      </c>
      <c r="K52" s="80"/>
      <c r="L52" s="79"/>
      <c r="M52" s="68">
        <f>454012.48/460*458</f>
        <v>452038.51269565214</v>
      </c>
      <c r="N52" s="78">
        <f>SUM(N42:N51)</f>
        <v>0</v>
      </c>
      <c r="O52" s="488"/>
      <c r="P52" s="465"/>
      <c r="Q52" s="81" t="s">
        <v>2</v>
      </c>
      <c r="R52" s="80"/>
      <c r="S52" s="79"/>
      <c r="T52" s="51">
        <f>454012.48/460*2</f>
        <v>1973.967304347826</v>
      </c>
      <c r="U52" s="78">
        <f>SUM(U42:U51)</f>
        <v>0</v>
      </c>
      <c r="V52" s="488"/>
      <c r="W52" s="465"/>
      <c r="X52" s="81" t="s">
        <v>2</v>
      </c>
      <c r="Y52" s="80"/>
      <c r="Z52" s="79"/>
      <c r="AA52" s="51">
        <f>423495.35/SUM($J$2:$L$2)*J2</f>
        <v>360509.7402152642</v>
      </c>
      <c r="AB52" s="366">
        <f>SUM(AB42:AB51)</f>
        <v>0</v>
      </c>
      <c r="AC52" s="512"/>
      <c r="AD52" s="464"/>
      <c r="AE52" s="376" t="s">
        <v>2</v>
      </c>
      <c r="AF52" s="377"/>
      <c r="AG52" s="332"/>
      <c r="AH52" s="235">
        <f>423495.35/SUM($J$2:$L$2)*K2</f>
        <v>1657.5160469667319</v>
      </c>
      <c r="AI52" s="378">
        <f>SUM(AI42:AI51)</f>
        <v>0</v>
      </c>
      <c r="AJ52" s="472"/>
      <c r="AK52" s="465"/>
      <c r="AL52" s="81" t="s">
        <v>2</v>
      </c>
      <c r="AM52" s="80"/>
      <c r="AN52" s="79"/>
      <c r="AO52" s="68">
        <f>423495.35/SUM($J$2:$L$2)*L2</f>
        <v>61328.093737769079</v>
      </c>
      <c r="AP52" s="78">
        <f>SUM(AP42:AP51)</f>
        <v>0</v>
      </c>
      <c r="AQ52" s="4">
        <f t="shared" si="17"/>
        <v>0</v>
      </c>
    </row>
    <row r="53" spans="1:43" ht="15" thickBot="1" x14ac:dyDescent="0.25">
      <c r="A53" s="488"/>
      <c r="B53" s="465"/>
      <c r="C53" s="479" t="s">
        <v>53</v>
      </c>
      <c r="D53" s="480"/>
      <c r="E53" s="480"/>
      <c r="F53" s="480"/>
      <c r="G53" s="481"/>
      <c r="H53" s="488"/>
      <c r="I53" s="465"/>
      <c r="J53" s="479" t="s">
        <v>53</v>
      </c>
      <c r="K53" s="480"/>
      <c r="L53" s="480"/>
      <c r="M53" s="489"/>
      <c r="N53" s="481"/>
      <c r="O53" s="488"/>
      <c r="P53" s="465"/>
      <c r="Q53" s="479" t="s">
        <v>53</v>
      </c>
      <c r="R53" s="480"/>
      <c r="S53" s="480"/>
      <c r="T53" s="486"/>
      <c r="U53" s="481"/>
      <c r="V53" s="488"/>
      <c r="W53" s="465"/>
      <c r="X53" s="479" t="s">
        <v>53</v>
      </c>
      <c r="Y53" s="480"/>
      <c r="Z53" s="480"/>
      <c r="AA53" s="486"/>
      <c r="AB53" s="515"/>
      <c r="AC53" s="512"/>
      <c r="AD53" s="464"/>
      <c r="AE53" s="508" t="s">
        <v>53</v>
      </c>
      <c r="AF53" s="483"/>
      <c r="AG53" s="483"/>
      <c r="AH53" s="483"/>
      <c r="AI53" s="485"/>
      <c r="AJ53" s="472"/>
      <c r="AK53" s="465"/>
      <c r="AL53" s="479" t="s">
        <v>53</v>
      </c>
      <c r="AM53" s="480"/>
      <c r="AN53" s="480"/>
      <c r="AO53" s="489"/>
      <c r="AP53" s="481"/>
      <c r="AQ53" s="4">
        <f t="shared" si="17"/>
        <v>0</v>
      </c>
    </row>
    <row r="54" spans="1:43" ht="76.5" x14ac:dyDescent="0.2">
      <c r="A54" s="488"/>
      <c r="B54" s="464"/>
      <c r="C54" s="76" t="s">
        <v>52</v>
      </c>
      <c r="D54" s="75" t="s">
        <v>8</v>
      </c>
      <c r="E54" s="30">
        <f>3393+3637.5</f>
        <v>7030.5</v>
      </c>
      <c r="F54" s="77">
        <f>93870+17000+51000+10000</f>
        <v>171870</v>
      </c>
      <c r="G54" s="53">
        <f>E54/F54</f>
        <v>4.0905917263047653E-2</v>
      </c>
      <c r="H54" s="488"/>
      <c r="I54" s="464"/>
      <c r="J54" s="76" t="s">
        <v>52</v>
      </c>
      <c r="K54" s="75" t="s">
        <v>8</v>
      </c>
      <c r="L54" s="72">
        <f>$G$54*M54</f>
        <v>3316.1369721936153</v>
      </c>
      <c r="M54" s="20">
        <f>$M$57/$F$57*F54</f>
        <v>81067.41503604532</v>
      </c>
      <c r="N54" s="53"/>
      <c r="O54" s="488"/>
      <c r="P54" s="464"/>
      <c r="Q54" s="76" t="s">
        <v>52</v>
      </c>
      <c r="R54" s="75" t="s">
        <v>8</v>
      </c>
      <c r="S54" s="58">
        <f>$G$54*T54</f>
        <v>14.480947476828014</v>
      </c>
      <c r="T54" s="20">
        <f>$T$57/$F$57*F54</f>
        <v>354.00617919670447</v>
      </c>
      <c r="U54" s="53"/>
      <c r="V54" s="488"/>
      <c r="W54" s="464"/>
      <c r="X54" s="76" t="s">
        <v>52</v>
      </c>
      <c r="Y54" s="75" t="s">
        <v>8</v>
      </c>
      <c r="Z54" s="72">
        <f>$G$54*AA54</f>
        <v>3149.6060762100929</v>
      </c>
      <c r="AA54" s="20">
        <f>$AA$57/$F$57*F54</f>
        <v>76996.34397528322</v>
      </c>
      <c r="AB54" s="77"/>
      <c r="AC54" s="512"/>
      <c r="AD54" s="464"/>
      <c r="AE54" s="259" t="s">
        <v>52</v>
      </c>
      <c r="AF54" s="260" t="s">
        <v>8</v>
      </c>
      <c r="AG54" s="261">
        <f>$G$54*AH54</f>
        <v>14.480947476828014</v>
      </c>
      <c r="AH54" s="262">
        <f>$AH$57/$F$57*F54</f>
        <v>354.00617919670447</v>
      </c>
      <c r="AI54" s="240" t="s">
        <v>150</v>
      </c>
      <c r="AJ54" s="472"/>
      <c r="AK54" s="464"/>
      <c r="AL54" s="76" t="s">
        <v>52</v>
      </c>
      <c r="AM54" s="75" t="s">
        <v>8</v>
      </c>
      <c r="AN54" s="72">
        <f>$G$54*AO54</f>
        <v>535.79505664263661</v>
      </c>
      <c r="AO54" s="20">
        <f>$AO$57/$F$57*F54</f>
        <v>13098.228630278067</v>
      </c>
      <c r="AP54" s="53"/>
      <c r="AQ54" s="4">
        <f t="shared" si="17"/>
        <v>0</v>
      </c>
    </row>
    <row r="55" spans="1:43" x14ac:dyDescent="0.2">
      <c r="A55" s="488"/>
      <c r="B55" s="464"/>
      <c r="C55" s="76" t="s">
        <v>51</v>
      </c>
      <c r="D55" s="75" t="s">
        <v>12</v>
      </c>
      <c r="E55" s="30">
        <v>1</v>
      </c>
      <c r="F55" s="77">
        <v>20000</v>
      </c>
      <c r="G55" s="53">
        <f>E55/F55</f>
        <v>5.0000000000000002E-5</v>
      </c>
      <c r="H55" s="488"/>
      <c r="I55" s="464"/>
      <c r="J55" s="76" t="s">
        <v>51</v>
      </c>
      <c r="K55" s="75" t="s">
        <v>12</v>
      </c>
      <c r="L55" s="72">
        <f>$G$55*M55-0.1</f>
        <v>0.37167868177136976</v>
      </c>
      <c r="M55" s="20">
        <f>$M$57/$F$57*F55</f>
        <v>9433.573635427394</v>
      </c>
      <c r="N55" s="53"/>
      <c r="O55" s="488"/>
      <c r="P55" s="464"/>
      <c r="Q55" s="76" t="s">
        <v>51</v>
      </c>
      <c r="R55" s="75" t="s">
        <v>12</v>
      </c>
      <c r="S55" s="58">
        <f>$G$55*T55+0.1</f>
        <v>0.10205973223480948</v>
      </c>
      <c r="T55" s="20">
        <f>$T$57/$F$57*F55</f>
        <v>41.194644696189499</v>
      </c>
      <c r="U55" s="53"/>
      <c r="V55" s="488"/>
      <c r="W55" s="464"/>
      <c r="X55" s="76" t="s">
        <v>51</v>
      </c>
      <c r="Y55" s="75" t="s">
        <v>12</v>
      </c>
      <c r="Z55" s="72">
        <f>$G$55*AA55-0.1</f>
        <v>0.34799176107106078</v>
      </c>
      <c r="AA55" s="20">
        <f>$AA$57/$F$57*F55</f>
        <v>8959.8352214212155</v>
      </c>
      <c r="AB55" s="77"/>
      <c r="AC55" s="512"/>
      <c r="AD55" s="464"/>
      <c r="AE55" s="76" t="s">
        <v>51</v>
      </c>
      <c r="AF55" s="75" t="s">
        <v>12</v>
      </c>
      <c r="AG55" s="72">
        <f>$G$55*AH55+0.1</f>
        <v>0.10205973223480948</v>
      </c>
      <c r="AH55" s="20">
        <f>$AH$57/$F$57*F55</f>
        <v>41.194644696189499</v>
      </c>
      <c r="AI55" s="53" t="s">
        <v>150</v>
      </c>
      <c r="AJ55" s="472"/>
      <c r="AK55" s="464"/>
      <c r="AL55" s="76" t="s">
        <v>51</v>
      </c>
      <c r="AM55" s="75" t="s">
        <v>12</v>
      </c>
      <c r="AN55" s="72">
        <f>$G$55*AO55</f>
        <v>7.6210092687950579E-2</v>
      </c>
      <c r="AO55" s="20">
        <f>$AO$57/$F$57*F55</f>
        <v>1524.2018537590116</v>
      </c>
      <c r="AP55" s="53"/>
      <c r="AQ55" s="4">
        <f t="shared" si="17"/>
        <v>0</v>
      </c>
    </row>
    <row r="56" spans="1:43" ht="26.25" thickBot="1" x14ac:dyDescent="0.25">
      <c r="A56" s="488"/>
      <c r="B56" s="464"/>
      <c r="C56" s="73" t="s">
        <v>50</v>
      </c>
      <c r="D56" s="56" t="s">
        <v>12</v>
      </c>
      <c r="E56" s="74">
        <v>1</v>
      </c>
      <c r="F56" s="32">
        <v>60000</v>
      </c>
      <c r="G56" s="53">
        <f>E56/F56</f>
        <v>1.6666666666666667E-5</v>
      </c>
      <c r="H56" s="488"/>
      <c r="I56" s="464"/>
      <c r="J56" s="73" t="s">
        <v>50</v>
      </c>
      <c r="K56" s="56" t="s">
        <v>12</v>
      </c>
      <c r="L56" s="72">
        <f>$G$56*M56-0.1</f>
        <v>0.37167868177136976</v>
      </c>
      <c r="M56" s="20">
        <f>$M$57/$F$57*F56</f>
        <v>28300.720906282186</v>
      </c>
      <c r="N56" s="71"/>
      <c r="O56" s="488"/>
      <c r="P56" s="464"/>
      <c r="Q56" s="73" t="s">
        <v>50</v>
      </c>
      <c r="R56" s="56" t="s">
        <v>12</v>
      </c>
      <c r="S56" s="58">
        <f>$G$56*T56+0.1</f>
        <v>0.10205973223480948</v>
      </c>
      <c r="T56" s="20">
        <f>$T$57/$F$57*F56</f>
        <v>123.58393408856851</v>
      </c>
      <c r="U56" s="71"/>
      <c r="V56" s="488"/>
      <c r="W56" s="464"/>
      <c r="X56" s="73" t="s">
        <v>50</v>
      </c>
      <c r="Y56" s="56" t="s">
        <v>12</v>
      </c>
      <c r="Z56" s="72">
        <f>$G$56*AA56-0.1</f>
        <v>0.34799176107106078</v>
      </c>
      <c r="AA56" s="20">
        <f>$AA$57/$F$57*F56</f>
        <v>26879.505664263648</v>
      </c>
      <c r="AB56" s="42"/>
      <c r="AC56" s="512"/>
      <c r="AD56" s="464"/>
      <c r="AE56" s="73" t="s">
        <v>50</v>
      </c>
      <c r="AF56" s="56" t="s">
        <v>12</v>
      </c>
      <c r="AG56" s="72">
        <f>$G$56*AH56+0.1</f>
        <v>0.10205973223480948</v>
      </c>
      <c r="AH56" s="20">
        <f>$AH$57/$F$57*F56</f>
        <v>123.58393408856851</v>
      </c>
      <c r="AI56" s="71" t="s">
        <v>150</v>
      </c>
      <c r="AJ56" s="472"/>
      <c r="AK56" s="464"/>
      <c r="AL56" s="73" t="s">
        <v>50</v>
      </c>
      <c r="AM56" s="56" t="s">
        <v>12</v>
      </c>
      <c r="AN56" s="72">
        <f>$G$56*AO56</f>
        <v>7.6210092687950592E-2</v>
      </c>
      <c r="AO56" s="20">
        <f>$AO$57/$F$57*F56</f>
        <v>4572.6055612770351</v>
      </c>
      <c r="AP56" s="71"/>
      <c r="AQ56" s="4">
        <f t="shared" si="17"/>
        <v>0</v>
      </c>
    </row>
    <row r="57" spans="1:43" ht="15" hidden="1" customHeight="1" thickBot="1" x14ac:dyDescent="0.25">
      <c r="A57" s="488"/>
      <c r="B57" s="464"/>
      <c r="C57" s="70" t="s">
        <v>2</v>
      </c>
      <c r="D57" s="69"/>
      <c r="E57" s="69"/>
      <c r="F57" s="52">
        <f>SUM(F54:F56)</f>
        <v>251870</v>
      </c>
      <c r="G57" s="67"/>
      <c r="H57" s="488"/>
      <c r="I57" s="464"/>
      <c r="J57" s="70" t="s">
        <v>2</v>
      </c>
      <c r="K57" s="69"/>
      <c r="L57" s="69"/>
      <c r="M57" s="68">
        <f>$F$57/$G$2*H2</f>
        <v>118801.7095777549</v>
      </c>
      <c r="N57" s="67"/>
      <c r="O57" s="488"/>
      <c r="P57" s="464"/>
      <c r="Q57" s="70" t="s">
        <v>2</v>
      </c>
      <c r="R57" s="69"/>
      <c r="S57" s="69"/>
      <c r="T57" s="68">
        <f>$F$57/$G$2*I2</f>
        <v>518.78475798146246</v>
      </c>
      <c r="U57" s="67"/>
      <c r="V57" s="488"/>
      <c r="W57" s="464"/>
      <c r="X57" s="70" t="s">
        <v>2</v>
      </c>
      <c r="Y57" s="69"/>
      <c r="Z57" s="69"/>
      <c r="AA57" s="68">
        <f>$F$57/$G$2*J2</f>
        <v>112835.68486096809</v>
      </c>
      <c r="AB57" s="367"/>
      <c r="AC57" s="512"/>
      <c r="AD57" s="464"/>
      <c r="AE57" s="233" t="s">
        <v>2</v>
      </c>
      <c r="AF57" s="234"/>
      <c r="AG57" s="234"/>
      <c r="AH57" s="235">
        <f>$F$57/$G$2*K2</f>
        <v>518.78475798146246</v>
      </c>
      <c r="AI57" s="236"/>
      <c r="AJ57" s="472"/>
      <c r="AK57" s="464"/>
      <c r="AL57" s="70" t="s">
        <v>2</v>
      </c>
      <c r="AM57" s="69"/>
      <c r="AN57" s="69"/>
      <c r="AO57" s="68">
        <f>$F$57/$G$2*L2</f>
        <v>19195.036045314111</v>
      </c>
      <c r="AP57" s="67"/>
      <c r="AQ57" s="4">
        <f t="shared" si="17"/>
        <v>0</v>
      </c>
    </row>
    <row r="58" spans="1:43" ht="15" thickBot="1" x14ac:dyDescent="0.25">
      <c r="A58" s="488"/>
      <c r="B58" s="464"/>
      <c r="C58" s="474" t="s">
        <v>49</v>
      </c>
      <c r="D58" s="474"/>
      <c r="E58" s="474"/>
      <c r="F58" s="474"/>
      <c r="G58" s="475"/>
      <c r="H58" s="488"/>
      <c r="I58" s="464"/>
      <c r="J58" s="474" t="s">
        <v>49</v>
      </c>
      <c r="K58" s="474"/>
      <c r="L58" s="474"/>
      <c r="M58" s="474"/>
      <c r="N58" s="475"/>
      <c r="O58" s="488"/>
      <c r="P58" s="464"/>
      <c r="Q58" s="474" t="s">
        <v>49</v>
      </c>
      <c r="R58" s="474"/>
      <c r="S58" s="474"/>
      <c r="T58" s="474"/>
      <c r="U58" s="475"/>
      <c r="V58" s="488"/>
      <c r="W58" s="464"/>
      <c r="X58" s="474" t="s">
        <v>49</v>
      </c>
      <c r="Y58" s="474"/>
      <c r="Z58" s="474"/>
      <c r="AA58" s="474"/>
      <c r="AB58" s="474"/>
      <c r="AC58" s="512"/>
      <c r="AD58" s="464"/>
      <c r="AE58" s="476" t="s">
        <v>49</v>
      </c>
      <c r="AF58" s="477"/>
      <c r="AG58" s="477"/>
      <c r="AH58" s="477"/>
      <c r="AI58" s="478"/>
      <c r="AJ58" s="472"/>
      <c r="AK58" s="464"/>
      <c r="AL58" s="474" t="s">
        <v>49</v>
      </c>
      <c r="AM58" s="474"/>
      <c r="AN58" s="474"/>
      <c r="AO58" s="474"/>
      <c r="AP58" s="475"/>
      <c r="AQ58" s="4">
        <f t="shared" si="17"/>
        <v>0</v>
      </c>
    </row>
    <row r="59" spans="1:43" ht="26.25" thickBot="1" x14ac:dyDescent="0.25">
      <c r="A59" s="488"/>
      <c r="B59" s="465"/>
      <c r="C59" s="64" t="s">
        <v>48</v>
      </c>
      <c r="D59" s="63" t="s">
        <v>44</v>
      </c>
      <c r="E59" s="66">
        <v>10</v>
      </c>
      <c r="F59" s="65">
        <v>75600</v>
      </c>
      <c r="G59" s="59">
        <f t="shared" ref="G59:G64" si="18">E59/F59</f>
        <v>1.3227513227513228E-4</v>
      </c>
      <c r="H59" s="488"/>
      <c r="I59" s="465"/>
      <c r="J59" s="64" t="s">
        <v>48</v>
      </c>
      <c r="K59" s="63" t="s">
        <v>44</v>
      </c>
      <c r="L59" s="58">
        <f>$G$59*M59-0.1</f>
        <v>4.6167868177136979</v>
      </c>
      <c r="M59" s="54">
        <f t="shared" ref="M59:M64" si="19">$M$65/$F$65*F59</f>
        <v>35658.90834191555</v>
      </c>
      <c r="N59" s="59"/>
      <c r="O59" s="488"/>
      <c r="P59" s="465"/>
      <c r="Q59" s="64" t="s">
        <v>48</v>
      </c>
      <c r="R59" s="63" t="s">
        <v>44</v>
      </c>
      <c r="S59" s="58">
        <f>$G$59*T59+0.1</f>
        <v>0.12059732234809475</v>
      </c>
      <c r="T59" s="54">
        <f t="shared" ref="T59:T64" si="20">$T$65/$F$65*F59</f>
        <v>155.71575695159629</v>
      </c>
      <c r="U59" s="59"/>
      <c r="V59" s="488"/>
      <c r="W59" s="465"/>
      <c r="X59" s="64" t="s">
        <v>48</v>
      </c>
      <c r="Y59" s="63" t="s">
        <v>44</v>
      </c>
      <c r="Z59" s="55">
        <f>$G$59*AA59-0.1</f>
        <v>4.3799176107106081</v>
      </c>
      <c r="AA59" s="54">
        <f t="shared" ref="AA59:AA64" si="21">$AA$65/$F$65*F59</f>
        <v>33868.17713697219</v>
      </c>
      <c r="AB59" s="107"/>
      <c r="AC59" s="512"/>
      <c r="AD59" s="464"/>
      <c r="AE59" s="237" t="s">
        <v>48</v>
      </c>
      <c r="AF59" s="379" t="s">
        <v>44</v>
      </c>
      <c r="AG59" s="232">
        <f>$G$59*AH59+0.1</f>
        <v>0.12059732234809475</v>
      </c>
      <c r="AH59" s="380">
        <f t="shared" ref="AH59:AH64" si="22">$AH$65/$F$65*F59</f>
        <v>155.71575695159629</v>
      </c>
      <c r="AI59" s="339" t="s">
        <v>150</v>
      </c>
      <c r="AJ59" s="472"/>
      <c r="AK59" s="465"/>
      <c r="AL59" s="64" t="s">
        <v>48</v>
      </c>
      <c r="AM59" s="63" t="s">
        <v>44</v>
      </c>
      <c r="AN59" s="55">
        <f>$G$59*AO59</f>
        <v>0.7621009268795057</v>
      </c>
      <c r="AO59" s="54">
        <f t="shared" ref="AO59:AO64" si="23">$AO$65/$F$65*F59</f>
        <v>5761.4830072090626</v>
      </c>
      <c r="AP59" s="59"/>
      <c r="AQ59" s="4">
        <f t="shared" si="17"/>
        <v>-1.4432899320127035E-15</v>
      </c>
    </row>
    <row r="60" spans="1:43" ht="51.75" thickBot="1" x14ac:dyDescent="0.25">
      <c r="A60" s="488"/>
      <c r="B60" s="465"/>
      <c r="C60" s="57" t="s">
        <v>47</v>
      </c>
      <c r="D60" s="56" t="s">
        <v>44</v>
      </c>
      <c r="E60" s="61">
        <v>6</v>
      </c>
      <c r="F60" s="60">
        <v>12744</v>
      </c>
      <c r="G60" s="59">
        <f t="shared" si="18"/>
        <v>4.7080979284369113E-4</v>
      </c>
      <c r="H60" s="488"/>
      <c r="I60" s="465"/>
      <c r="J60" s="57" t="s">
        <v>47</v>
      </c>
      <c r="K60" s="56" t="s">
        <v>44</v>
      </c>
      <c r="L60" s="58">
        <f>$G$60*M60-0.1</f>
        <v>2.7300720906282181</v>
      </c>
      <c r="M60" s="54">
        <f t="shared" si="19"/>
        <v>6011.0731204943359</v>
      </c>
      <c r="N60" s="53"/>
      <c r="O60" s="488"/>
      <c r="P60" s="465"/>
      <c r="Q60" s="57" t="s">
        <v>47</v>
      </c>
      <c r="R60" s="56" t="s">
        <v>44</v>
      </c>
      <c r="S60" s="58">
        <f>$G$60*T60+0.1</f>
        <v>0.11235839340885685</v>
      </c>
      <c r="T60" s="54">
        <f t="shared" si="20"/>
        <v>26.249227600411945</v>
      </c>
      <c r="U60" s="53"/>
      <c r="V60" s="488"/>
      <c r="W60" s="465"/>
      <c r="X60" s="57" t="s">
        <v>47</v>
      </c>
      <c r="Y60" s="56" t="s">
        <v>44</v>
      </c>
      <c r="Z60" s="55">
        <f>$G$60*AA60-0.1</f>
        <v>2.5879505664263642</v>
      </c>
      <c r="AA60" s="54">
        <f t="shared" si="21"/>
        <v>5709.2070030895984</v>
      </c>
      <c r="AB60" s="77"/>
      <c r="AC60" s="512"/>
      <c r="AD60" s="464"/>
      <c r="AE60" s="73" t="s">
        <v>47</v>
      </c>
      <c r="AF60" s="248" t="s">
        <v>44</v>
      </c>
      <c r="AG60" s="58">
        <f>$G$60*AH60+0.1</f>
        <v>0.11235839340885685</v>
      </c>
      <c r="AH60" s="249">
        <f t="shared" si="22"/>
        <v>26.249227600411945</v>
      </c>
      <c r="AI60" s="295" t="s">
        <v>150</v>
      </c>
      <c r="AJ60" s="472"/>
      <c r="AK60" s="465"/>
      <c r="AL60" s="57" t="s">
        <v>47</v>
      </c>
      <c r="AM60" s="56" t="s">
        <v>44</v>
      </c>
      <c r="AN60" s="55">
        <f>$G$60*AO60</f>
        <v>0.45726055612770339</v>
      </c>
      <c r="AO60" s="54">
        <f t="shared" si="23"/>
        <v>971.221421215242</v>
      </c>
      <c r="AP60" s="53"/>
      <c r="AQ60" s="4">
        <f t="shared" si="17"/>
        <v>4.4408920985006262E-16</v>
      </c>
    </row>
    <row r="61" spans="1:43" ht="26.25" thickBot="1" x14ac:dyDescent="0.25">
      <c r="A61" s="488"/>
      <c r="B61" s="465"/>
      <c r="C61" s="57" t="s">
        <v>46</v>
      </c>
      <c r="D61" s="56" t="s">
        <v>44</v>
      </c>
      <c r="E61" s="61">
        <v>10</v>
      </c>
      <c r="F61" s="60">
        <v>11640</v>
      </c>
      <c r="G61" s="59">
        <f t="shared" si="18"/>
        <v>8.5910652920962198E-4</v>
      </c>
      <c r="H61" s="488"/>
      <c r="I61" s="465"/>
      <c r="J61" s="57" t="s">
        <v>46</v>
      </c>
      <c r="K61" s="56" t="s">
        <v>44</v>
      </c>
      <c r="L61" s="58">
        <f>$G$61*M61-0.1</f>
        <v>4.6167868177136979</v>
      </c>
      <c r="M61" s="54">
        <f t="shared" si="19"/>
        <v>5490.3398558187437</v>
      </c>
      <c r="N61" s="53"/>
      <c r="O61" s="488"/>
      <c r="P61" s="465"/>
      <c r="Q61" s="57" t="s">
        <v>46</v>
      </c>
      <c r="R61" s="56" t="s">
        <v>44</v>
      </c>
      <c r="S61" s="58">
        <f>$G$61*T61+0.1</f>
        <v>0.12059732234809475</v>
      </c>
      <c r="T61" s="54">
        <f t="shared" si="20"/>
        <v>23.975283213182287</v>
      </c>
      <c r="U61" s="53"/>
      <c r="V61" s="488"/>
      <c r="W61" s="465"/>
      <c r="X61" s="57" t="s">
        <v>46</v>
      </c>
      <c r="Y61" s="56" t="s">
        <v>44</v>
      </c>
      <c r="Z61" s="55">
        <f>$G$61*AA61-0.1</f>
        <v>4.3799176107106073</v>
      </c>
      <c r="AA61" s="54">
        <f t="shared" si="21"/>
        <v>5214.624098867147</v>
      </c>
      <c r="AB61" s="77"/>
      <c r="AC61" s="512"/>
      <c r="AD61" s="464"/>
      <c r="AE61" s="73" t="s">
        <v>46</v>
      </c>
      <c r="AF61" s="248" t="s">
        <v>44</v>
      </c>
      <c r="AG61" s="58">
        <f>$G$61*AH61+0.1</f>
        <v>0.12059732234809475</v>
      </c>
      <c r="AH61" s="249">
        <f t="shared" si="22"/>
        <v>23.975283213182287</v>
      </c>
      <c r="AI61" s="295" t="s">
        <v>150</v>
      </c>
      <c r="AJ61" s="472"/>
      <c r="AK61" s="465"/>
      <c r="AL61" s="57" t="s">
        <v>46</v>
      </c>
      <c r="AM61" s="56" t="s">
        <v>44</v>
      </c>
      <c r="AN61" s="55">
        <f>$G$61*AO61</f>
        <v>0.76210092687950559</v>
      </c>
      <c r="AO61" s="54">
        <f t="shared" si="23"/>
        <v>887.08547888774456</v>
      </c>
      <c r="AP61" s="53"/>
      <c r="AQ61" s="4">
        <f t="shared" si="17"/>
        <v>0</v>
      </c>
    </row>
    <row r="62" spans="1:43" ht="26.25" thickBot="1" x14ac:dyDescent="0.25">
      <c r="A62" s="488"/>
      <c r="B62" s="465"/>
      <c r="C62" s="57" t="s">
        <v>45</v>
      </c>
      <c r="D62" s="56" t="s">
        <v>44</v>
      </c>
      <c r="E62" s="61">
        <v>1</v>
      </c>
      <c r="F62" s="60">
        <v>7666.0499999999993</v>
      </c>
      <c r="G62" s="59">
        <f t="shared" si="18"/>
        <v>1.3044527494602827E-4</v>
      </c>
      <c r="H62" s="488"/>
      <c r="I62" s="465"/>
      <c r="J62" s="57" t="s">
        <v>45</v>
      </c>
      <c r="K62" s="56" t="s">
        <v>44</v>
      </c>
      <c r="L62" s="58">
        <f>$G$62*M62-0.1</f>
        <v>0.37167868177136976</v>
      </c>
      <c r="M62" s="54">
        <f t="shared" si="19"/>
        <v>3615.9123583934088</v>
      </c>
      <c r="N62" s="62"/>
      <c r="O62" s="488"/>
      <c r="P62" s="465"/>
      <c r="Q62" s="57" t="s">
        <v>45</v>
      </c>
      <c r="R62" s="56" t="s">
        <v>44</v>
      </c>
      <c r="S62" s="58">
        <f>$G$62*T62+0.1</f>
        <v>0.10205973223480948</v>
      </c>
      <c r="T62" s="54">
        <f t="shared" si="20"/>
        <v>15.790010298661173</v>
      </c>
      <c r="U62" s="62"/>
      <c r="V62" s="488"/>
      <c r="W62" s="465"/>
      <c r="X62" s="57" t="s">
        <v>45</v>
      </c>
      <c r="Y62" s="56" t="s">
        <v>44</v>
      </c>
      <c r="Z62" s="55">
        <f>$G$62*AA62-0.1</f>
        <v>0.34799176107106067</v>
      </c>
      <c r="AA62" s="54">
        <f t="shared" si="21"/>
        <v>3434.327239958805</v>
      </c>
      <c r="AB62" s="368"/>
      <c r="AC62" s="512"/>
      <c r="AD62" s="464"/>
      <c r="AE62" s="73" t="s">
        <v>45</v>
      </c>
      <c r="AF62" s="248" t="s">
        <v>44</v>
      </c>
      <c r="AG62" s="58">
        <f>$G$62*AH62+0.1</f>
        <v>0.10205973223480948</v>
      </c>
      <c r="AH62" s="249">
        <f t="shared" si="22"/>
        <v>15.790010298661173</v>
      </c>
      <c r="AI62" s="295" t="s">
        <v>150</v>
      </c>
      <c r="AJ62" s="472"/>
      <c r="AK62" s="465"/>
      <c r="AL62" s="57" t="s">
        <v>45</v>
      </c>
      <c r="AM62" s="56" t="s">
        <v>44</v>
      </c>
      <c r="AN62" s="55">
        <f>$G$62*AO62</f>
        <v>7.6210092687950565E-2</v>
      </c>
      <c r="AO62" s="54">
        <f t="shared" si="23"/>
        <v>584.23038105046339</v>
      </c>
      <c r="AP62" s="62"/>
      <c r="AQ62" s="4">
        <f t="shared" si="17"/>
        <v>0</v>
      </c>
    </row>
    <row r="63" spans="1:43" ht="15" thickBot="1" x14ac:dyDescent="0.25">
      <c r="A63" s="488"/>
      <c r="B63" s="465"/>
      <c r="C63" s="57" t="s">
        <v>43</v>
      </c>
      <c r="D63" s="56" t="s">
        <v>42</v>
      </c>
      <c r="E63" s="61">
        <v>1</v>
      </c>
      <c r="F63" s="60">
        <v>90000</v>
      </c>
      <c r="G63" s="59">
        <f t="shared" si="18"/>
        <v>1.1111111111111112E-5</v>
      </c>
      <c r="H63" s="488"/>
      <c r="I63" s="465"/>
      <c r="J63" s="57" t="s">
        <v>43</v>
      </c>
      <c r="K63" s="56" t="s">
        <v>42</v>
      </c>
      <c r="L63" s="58">
        <f>$G$63*M63-0.1</f>
        <v>0.37167868177136976</v>
      </c>
      <c r="M63" s="54">
        <f t="shared" si="19"/>
        <v>42451.081359423275</v>
      </c>
      <c r="N63" s="53"/>
      <c r="O63" s="488"/>
      <c r="P63" s="465"/>
      <c r="Q63" s="57" t="s">
        <v>43</v>
      </c>
      <c r="R63" s="56" t="s">
        <v>42</v>
      </c>
      <c r="S63" s="58">
        <f>$G$63*T63+0.1</f>
        <v>0.10205973223480948</v>
      </c>
      <c r="T63" s="54">
        <f t="shared" si="20"/>
        <v>185.37590113285273</v>
      </c>
      <c r="U63" s="53"/>
      <c r="V63" s="488"/>
      <c r="W63" s="465"/>
      <c r="X63" s="57" t="s">
        <v>43</v>
      </c>
      <c r="Y63" s="56" t="s">
        <v>42</v>
      </c>
      <c r="Z63" s="55">
        <f>$G$63*AA63-0.1</f>
        <v>0.34799176107106078</v>
      </c>
      <c r="AA63" s="54">
        <f t="shared" si="21"/>
        <v>40319.258496395465</v>
      </c>
      <c r="AB63" s="77"/>
      <c r="AC63" s="512"/>
      <c r="AD63" s="464"/>
      <c r="AE63" s="73" t="s">
        <v>43</v>
      </c>
      <c r="AF63" s="248" t="s">
        <v>42</v>
      </c>
      <c r="AG63" s="58">
        <f>$G$63*AH63+0.1</f>
        <v>0.10205973223480948</v>
      </c>
      <c r="AH63" s="249">
        <f t="shared" si="22"/>
        <v>185.37590113285273</v>
      </c>
      <c r="AI63" s="295" t="s">
        <v>150</v>
      </c>
      <c r="AJ63" s="472"/>
      <c r="AK63" s="465"/>
      <c r="AL63" s="57" t="s">
        <v>43</v>
      </c>
      <c r="AM63" s="56" t="s">
        <v>42</v>
      </c>
      <c r="AN63" s="55">
        <f>$G$63*AO63</f>
        <v>7.6210092687950565E-2</v>
      </c>
      <c r="AO63" s="54">
        <f t="shared" si="23"/>
        <v>6858.9083419155504</v>
      </c>
      <c r="AP63" s="53"/>
      <c r="AQ63" s="4">
        <f t="shared" si="17"/>
        <v>0</v>
      </c>
    </row>
    <row r="64" spans="1:43" ht="26.25" thickBot="1" x14ac:dyDescent="0.25">
      <c r="A64" s="488"/>
      <c r="B64" s="465"/>
      <c r="C64" s="57" t="s">
        <v>41</v>
      </c>
      <c r="D64" s="56" t="s">
        <v>40</v>
      </c>
      <c r="E64" s="61">
        <v>1</v>
      </c>
      <c r="F64" s="60">
        <v>4500</v>
      </c>
      <c r="G64" s="59">
        <f t="shared" si="18"/>
        <v>2.2222222222222223E-4</v>
      </c>
      <c r="H64" s="488"/>
      <c r="I64" s="465"/>
      <c r="J64" s="57" t="s">
        <v>41</v>
      </c>
      <c r="K64" s="56" t="s">
        <v>40</v>
      </c>
      <c r="L64" s="58">
        <f>$G$64*M64-0.1</f>
        <v>0.37167868177136976</v>
      </c>
      <c r="M64" s="54">
        <f t="shared" si="19"/>
        <v>2122.5540679711639</v>
      </c>
      <c r="N64" s="53"/>
      <c r="O64" s="488"/>
      <c r="P64" s="465"/>
      <c r="Q64" s="57" t="s">
        <v>41</v>
      </c>
      <c r="R64" s="56" t="s">
        <v>40</v>
      </c>
      <c r="S64" s="58">
        <f>$G$64*T64+0.1</f>
        <v>0.10205973223480948</v>
      </c>
      <c r="T64" s="54">
        <f t="shared" si="20"/>
        <v>9.2687950566426363</v>
      </c>
      <c r="U64" s="53"/>
      <c r="V64" s="488"/>
      <c r="W64" s="465"/>
      <c r="X64" s="57" t="s">
        <v>41</v>
      </c>
      <c r="Y64" s="56" t="s">
        <v>40</v>
      </c>
      <c r="Z64" s="55">
        <f>$G$64*AA64-0.1</f>
        <v>0.34799176107106078</v>
      </c>
      <c r="AA64" s="54">
        <f t="shared" si="21"/>
        <v>2015.9629248197734</v>
      </c>
      <c r="AB64" s="77"/>
      <c r="AC64" s="512"/>
      <c r="AD64" s="464"/>
      <c r="AE64" s="73" t="s">
        <v>41</v>
      </c>
      <c r="AF64" s="56" t="s">
        <v>40</v>
      </c>
      <c r="AG64" s="232">
        <f>$G$64*AH64+0.1</f>
        <v>0.10205973223480948</v>
      </c>
      <c r="AH64" s="54">
        <f t="shared" si="22"/>
        <v>9.2687950566426363</v>
      </c>
      <c r="AI64" s="295" t="s">
        <v>150</v>
      </c>
      <c r="AJ64" s="472"/>
      <c r="AK64" s="465"/>
      <c r="AL64" s="57" t="s">
        <v>41</v>
      </c>
      <c r="AM64" s="56" t="s">
        <v>40</v>
      </c>
      <c r="AN64" s="55">
        <f>$G$64*AO64</f>
        <v>7.6210092687950565E-2</v>
      </c>
      <c r="AO64" s="54">
        <f t="shared" si="23"/>
        <v>342.94541709577754</v>
      </c>
      <c r="AP64" s="53"/>
      <c r="AQ64" s="4">
        <f t="shared" si="17"/>
        <v>0</v>
      </c>
    </row>
    <row r="65" spans="1:43" ht="15" hidden="1" thickBot="1" x14ac:dyDescent="0.25">
      <c r="A65" s="488"/>
      <c r="B65" s="465"/>
      <c r="C65" s="8" t="s">
        <v>2</v>
      </c>
      <c r="D65" s="7"/>
      <c r="E65" s="52"/>
      <c r="F65" s="6">
        <f>SUM(F59:F64)</f>
        <v>202150.05</v>
      </c>
      <c r="G65" s="5">
        <f>SUM(G59:G64)</f>
        <v>1.8259700626078069E-3</v>
      </c>
      <c r="H65" s="488"/>
      <c r="I65" s="465"/>
      <c r="J65" s="8" t="s">
        <v>2</v>
      </c>
      <c r="K65" s="7"/>
      <c r="L65" s="52"/>
      <c r="M65" s="51">
        <f>$F$65/$G$2*H2</f>
        <v>95349.86910401647</v>
      </c>
      <c r="N65" s="5">
        <f>SUM(N59:N64)</f>
        <v>0</v>
      </c>
      <c r="O65" s="488"/>
      <c r="P65" s="465"/>
      <c r="Q65" s="8" t="s">
        <v>2</v>
      </c>
      <c r="R65" s="7"/>
      <c r="S65" s="52"/>
      <c r="T65" s="51">
        <f>$F$65/$G$2*I2</f>
        <v>416.37497425334703</v>
      </c>
      <c r="U65" s="5">
        <f>SUM(U59:U64)</f>
        <v>0</v>
      </c>
      <c r="V65" s="488"/>
      <c r="W65" s="465"/>
      <c r="X65" s="8" t="s">
        <v>2</v>
      </c>
      <c r="Y65" s="7"/>
      <c r="Z65" s="52"/>
      <c r="AA65" s="51">
        <f>$F$65/$G$2*J2</f>
        <v>90561.55690010298</v>
      </c>
      <c r="AB65" s="369">
        <f>SUM(AB59:AB64)</f>
        <v>0</v>
      </c>
      <c r="AC65" s="512"/>
      <c r="AD65" s="464"/>
      <c r="AE65" s="381" t="s">
        <v>2</v>
      </c>
      <c r="AF65" s="382"/>
      <c r="AG65" s="383"/>
      <c r="AH65" s="384">
        <f>$F$65/$G$2*K2</f>
        <v>416.37497425334703</v>
      </c>
      <c r="AI65" s="385">
        <f>SUM(AI59:AI64)</f>
        <v>0</v>
      </c>
      <c r="AJ65" s="472"/>
      <c r="AK65" s="465"/>
      <c r="AL65" s="8" t="s">
        <v>2</v>
      </c>
      <c r="AM65" s="7"/>
      <c r="AN65" s="52"/>
      <c r="AO65" s="51">
        <f>$F$65/$G$2*L2</f>
        <v>15405.87404737384</v>
      </c>
      <c r="AP65" s="5">
        <f>SUM(AP59:AP64)</f>
        <v>0</v>
      </c>
      <c r="AQ65" s="4">
        <f t="shared" si="17"/>
        <v>0</v>
      </c>
    </row>
    <row r="66" spans="1:43" ht="15" thickBot="1" x14ac:dyDescent="0.25">
      <c r="A66" s="488"/>
      <c r="B66" s="464"/>
      <c r="C66" s="466" t="s">
        <v>39</v>
      </c>
      <c r="D66" s="466"/>
      <c r="E66" s="466"/>
      <c r="F66" s="466"/>
      <c r="G66" s="467"/>
      <c r="H66" s="488"/>
      <c r="I66" s="464"/>
      <c r="J66" s="466" t="s">
        <v>39</v>
      </c>
      <c r="K66" s="468"/>
      <c r="L66" s="468"/>
      <c r="M66" s="468"/>
      <c r="N66" s="469"/>
      <c r="O66" s="488"/>
      <c r="P66" s="464"/>
      <c r="Q66" s="466" t="s">
        <v>39</v>
      </c>
      <c r="R66" s="468"/>
      <c r="S66" s="468"/>
      <c r="T66" s="468"/>
      <c r="U66" s="469"/>
      <c r="V66" s="488"/>
      <c r="W66" s="464"/>
      <c r="X66" s="466" t="s">
        <v>39</v>
      </c>
      <c r="Y66" s="468"/>
      <c r="Z66" s="468"/>
      <c r="AA66" s="468"/>
      <c r="AB66" s="468"/>
      <c r="AC66" s="512"/>
      <c r="AD66" s="464"/>
      <c r="AE66" s="508" t="s">
        <v>39</v>
      </c>
      <c r="AF66" s="483"/>
      <c r="AG66" s="483"/>
      <c r="AH66" s="483"/>
      <c r="AI66" s="485"/>
      <c r="AJ66" s="472"/>
      <c r="AK66" s="464"/>
      <c r="AL66" s="466" t="s">
        <v>39</v>
      </c>
      <c r="AM66" s="466"/>
      <c r="AN66" s="468"/>
      <c r="AO66" s="468"/>
      <c r="AP66" s="469"/>
      <c r="AQ66" s="4">
        <f t="shared" si="17"/>
        <v>0</v>
      </c>
    </row>
    <row r="67" spans="1:43" ht="90" thickBot="1" x14ac:dyDescent="0.25">
      <c r="A67" s="488"/>
      <c r="B67" s="464"/>
      <c r="C67" s="47" t="s">
        <v>38</v>
      </c>
      <c r="D67" s="50" t="s">
        <v>37</v>
      </c>
      <c r="E67" s="40">
        <v>49</v>
      </c>
      <c r="F67" s="39">
        <v>22262958.999999996</v>
      </c>
      <c r="G67" s="49">
        <f>E67/F67</f>
        <v>2.2009652894747734E-6</v>
      </c>
      <c r="H67" s="488"/>
      <c r="I67" s="464"/>
      <c r="J67" s="48" t="s">
        <v>38</v>
      </c>
      <c r="K67" s="31" t="s">
        <v>37</v>
      </c>
      <c r="L67" s="41">
        <f>$G$67*M67</f>
        <v>23.112255406797122</v>
      </c>
      <c r="M67" s="12">
        <v>10500963.153450051</v>
      </c>
      <c r="N67" s="31"/>
      <c r="O67" s="472"/>
      <c r="P67" s="464"/>
      <c r="Q67" s="48" t="s">
        <v>38</v>
      </c>
      <c r="R67" s="31" t="s">
        <v>37</v>
      </c>
      <c r="S67" s="41">
        <f>$G$67*T67</f>
        <v>0.10092687950566429</v>
      </c>
      <c r="T67" s="12">
        <v>45855.734294541711</v>
      </c>
      <c r="U67" s="31"/>
      <c r="V67" s="472"/>
      <c r="W67" s="464"/>
      <c r="X67" s="48" t="s">
        <v>38</v>
      </c>
      <c r="Y67" s="31" t="s">
        <v>37</v>
      </c>
      <c r="Z67" s="41">
        <f>$G$67*AA67</f>
        <v>21.951596292481984</v>
      </c>
      <c r="AA67" s="12">
        <v>9973622.2090628222</v>
      </c>
      <c r="AB67" s="42"/>
      <c r="AC67" s="512"/>
      <c r="AD67" s="464"/>
      <c r="AE67" s="279" t="s">
        <v>38</v>
      </c>
      <c r="AF67" s="128" t="s">
        <v>37</v>
      </c>
      <c r="AG67" s="322">
        <f>$G$67*AH67</f>
        <v>0.10092687950566429</v>
      </c>
      <c r="AH67" s="244">
        <v>45855.734294541711</v>
      </c>
      <c r="AI67" s="340" t="s">
        <v>164</v>
      </c>
      <c r="AJ67" s="472"/>
      <c r="AK67" s="464"/>
      <c r="AL67" s="47" t="s">
        <v>38</v>
      </c>
      <c r="AM67" s="46" t="s">
        <v>37</v>
      </c>
      <c r="AN67" s="41">
        <f>$G$67*AO67</f>
        <v>3.7342945417095783</v>
      </c>
      <c r="AO67" s="12">
        <v>1696662.1688980432</v>
      </c>
      <c r="AP67" s="31"/>
      <c r="AQ67" s="4">
        <f t="shared" si="17"/>
        <v>-1.1990408665951691E-14</v>
      </c>
    </row>
    <row r="68" spans="1:43" ht="15" hidden="1" customHeight="1" thickBot="1" x14ac:dyDescent="0.25">
      <c r="A68" s="488"/>
      <c r="B68" s="465"/>
      <c r="C68" s="43"/>
      <c r="D68" s="31"/>
      <c r="E68" s="45"/>
      <c r="F68" s="32"/>
      <c r="G68" s="31"/>
      <c r="H68" s="488"/>
      <c r="I68" s="465"/>
      <c r="J68" s="44"/>
      <c r="K68" s="31"/>
      <c r="L68" s="41"/>
      <c r="M68" s="32"/>
      <c r="N68" s="31"/>
      <c r="O68" s="472"/>
      <c r="P68" s="465"/>
      <c r="Q68" s="44"/>
      <c r="R68" s="31"/>
      <c r="S68" s="41"/>
      <c r="T68" s="32"/>
      <c r="U68" s="31"/>
      <c r="V68" s="472"/>
      <c r="W68" s="465"/>
      <c r="X68" s="44"/>
      <c r="Y68" s="31"/>
      <c r="Z68" s="41"/>
      <c r="AA68" s="32"/>
      <c r="AB68" s="42"/>
      <c r="AC68" s="512"/>
      <c r="AD68" s="464"/>
      <c r="AE68" s="207"/>
      <c r="AF68" s="31"/>
      <c r="AG68" s="41"/>
      <c r="AH68" s="32"/>
      <c r="AI68" s="71"/>
      <c r="AJ68" s="472"/>
      <c r="AK68" s="465"/>
      <c r="AL68" s="43"/>
      <c r="AM68" s="42"/>
      <c r="AN68" s="41"/>
      <c r="AO68" s="32"/>
      <c r="AP68" s="31"/>
      <c r="AQ68" s="4">
        <f t="shared" si="17"/>
        <v>0</v>
      </c>
    </row>
    <row r="69" spans="1:43" ht="15" hidden="1" customHeight="1" thickBot="1" x14ac:dyDescent="0.25">
      <c r="A69" s="488"/>
      <c r="B69" s="465"/>
      <c r="C69" s="43"/>
      <c r="D69" s="31"/>
      <c r="E69" s="45"/>
      <c r="F69" s="32"/>
      <c r="G69" s="31"/>
      <c r="H69" s="488"/>
      <c r="I69" s="465"/>
      <c r="J69" s="44"/>
      <c r="K69" s="31"/>
      <c r="L69" s="41"/>
      <c r="M69" s="32"/>
      <c r="N69" s="31"/>
      <c r="O69" s="472"/>
      <c r="P69" s="465"/>
      <c r="Q69" s="44"/>
      <c r="R69" s="31"/>
      <c r="S69" s="41"/>
      <c r="T69" s="32"/>
      <c r="U69" s="31"/>
      <c r="V69" s="472"/>
      <c r="W69" s="465"/>
      <c r="X69" s="44"/>
      <c r="Y69" s="31"/>
      <c r="Z69" s="41"/>
      <c r="AA69" s="32"/>
      <c r="AB69" s="42"/>
      <c r="AC69" s="512"/>
      <c r="AD69" s="464"/>
      <c r="AE69" s="207"/>
      <c r="AF69" s="31"/>
      <c r="AG69" s="41"/>
      <c r="AH69" s="32"/>
      <c r="AI69" s="71"/>
      <c r="AJ69" s="472"/>
      <c r="AK69" s="465"/>
      <c r="AL69" s="43"/>
      <c r="AM69" s="42"/>
      <c r="AN69" s="41"/>
      <c r="AO69" s="32"/>
      <c r="AP69" s="31"/>
      <c r="AQ69" s="4">
        <f t="shared" si="17"/>
        <v>0</v>
      </c>
    </row>
    <row r="70" spans="1:43" ht="15" hidden="1" customHeight="1" thickBot="1" x14ac:dyDescent="0.25">
      <c r="A70" s="488"/>
      <c r="B70" s="465"/>
      <c r="C70" s="43"/>
      <c r="D70" s="31"/>
      <c r="E70" s="45"/>
      <c r="F70" s="32"/>
      <c r="G70" s="31"/>
      <c r="H70" s="488"/>
      <c r="I70" s="465"/>
      <c r="J70" s="44"/>
      <c r="K70" s="31"/>
      <c r="L70" s="41"/>
      <c r="M70" s="32"/>
      <c r="N70" s="31"/>
      <c r="O70" s="472"/>
      <c r="P70" s="465"/>
      <c r="Q70" s="44"/>
      <c r="R70" s="31"/>
      <c r="S70" s="41"/>
      <c r="T70" s="32"/>
      <c r="U70" s="31"/>
      <c r="V70" s="472"/>
      <c r="W70" s="465"/>
      <c r="X70" s="44"/>
      <c r="Y70" s="31"/>
      <c r="Z70" s="41"/>
      <c r="AA70" s="32"/>
      <c r="AB70" s="42"/>
      <c r="AC70" s="512"/>
      <c r="AD70" s="464"/>
      <c r="AE70" s="207"/>
      <c r="AF70" s="31"/>
      <c r="AG70" s="41"/>
      <c r="AH70" s="32"/>
      <c r="AI70" s="71"/>
      <c r="AJ70" s="472"/>
      <c r="AK70" s="465"/>
      <c r="AL70" s="43"/>
      <c r="AM70" s="42"/>
      <c r="AN70" s="41"/>
      <c r="AO70" s="32"/>
      <c r="AP70" s="31"/>
      <c r="AQ70" s="4">
        <f t="shared" si="17"/>
        <v>0</v>
      </c>
    </row>
    <row r="71" spans="1:43" ht="15" hidden="1" customHeight="1" thickBot="1" x14ac:dyDescent="0.25">
      <c r="A71" s="488"/>
      <c r="B71" s="465"/>
      <c r="C71" s="43"/>
      <c r="D71" s="31"/>
      <c r="E71" s="45"/>
      <c r="F71" s="32"/>
      <c r="G71" s="31"/>
      <c r="H71" s="488"/>
      <c r="I71" s="465"/>
      <c r="J71" s="44"/>
      <c r="K71" s="31"/>
      <c r="L71" s="41"/>
      <c r="M71" s="32"/>
      <c r="N71" s="31"/>
      <c r="O71" s="472"/>
      <c r="P71" s="465"/>
      <c r="Q71" s="44"/>
      <c r="R71" s="31"/>
      <c r="S71" s="41"/>
      <c r="T71" s="32"/>
      <c r="U71" s="31"/>
      <c r="V71" s="472"/>
      <c r="W71" s="465"/>
      <c r="X71" s="44"/>
      <c r="Y71" s="31"/>
      <c r="Z71" s="41"/>
      <c r="AA71" s="32"/>
      <c r="AB71" s="42"/>
      <c r="AC71" s="512"/>
      <c r="AD71" s="464"/>
      <c r="AE71" s="207"/>
      <c r="AF71" s="31"/>
      <c r="AG71" s="41"/>
      <c r="AH71" s="32"/>
      <c r="AI71" s="71"/>
      <c r="AJ71" s="472"/>
      <c r="AK71" s="465"/>
      <c r="AL71" s="43"/>
      <c r="AM71" s="42"/>
      <c r="AN71" s="41"/>
      <c r="AO71" s="32"/>
      <c r="AP71" s="31"/>
      <c r="AQ71" s="4">
        <f t="shared" si="17"/>
        <v>0</v>
      </c>
    </row>
    <row r="72" spans="1:43" ht="15" hidden="1" customHeight="1" thickBot="1" x14ac:dyDescent="0.25">
      <c r="A72" s="488"/>
      <c r="B72" s="465"/>
      <c r="C72" s="43"/>
      <c r="D72" s="31"/>
      <c r="E72" s="45"/>
      <c r="F72" s="32"/>
      <c r="G72" s="31"/>
      <c r="H72" s="488"/>
      <c r="I72" s="465"/>
      <c r="J72" s="44"/>
      <c r="K72" s="31"/>
      <c r="L72" s="41"/>
      <c r="M72" s="32"/>
      <c r="N72" s="31"/>
      <c r="O72" s="472"/>
      <c r="P72" s="465"/>
      <c r="Q72" s="44"/>
      <c r="R72" s="31"/>
      <c r="S72" s="41"/>
      <c r="T72" s="32"/>
      <c r="U72" s="31"/>
      <c r="V72" s="472"/>
      <c r="W72" s="465"/>
      <c r="X72" s="44"/>
      <c r="Y72" s="31"/>
      <c r="Z72" s="41"/>
      <c r="AA72" s="32"/>
      <c r="AB72" s="42"/>
      <c r="AC72" s="512"/>
      <c r="AD72" s="464"/>
      <c r="AE72" s="207"/>
      <c r="AF72" s="31"/>
      <c r="AG72" s="41"/>
      <c r="AH72" s="32"/>
      <c r="AI72" s="71"/>
      <c r="AJ72" s="472"/>
      <c r="AK72" s="465"/>
      <c r="AL72" s="43"/>
      <c r="AM72" s="42"/>
      <c r="AN72" s="41"/>
      <c r="AO72" s="32"/>
      <c r="AP72" s="31"/>
      <c r="AQ72" s="4">
        <f t="shared" si="17"/>
        <v>0</v>
      </c>
    </row>
    <row r="73" spans="1:43" ht="15" hidden="1" customHeight="1" thickBot="1" x14ac:dyDescent="0.25">
      <c r="A73" s="488"/>
      <c r="B73" s="465"/>
      <c r="C73" s="43"/>
      <c r="D73" s="31"/>
      <c r="E73" s="45"/>
      <c r="F73" s="32"/>
      <c r="G73" s="31"/>
      <c r="H73" s="488"/>
      <c r="I73" s="465"/>
      <c r="J73" s="44"/>
      <c r="K73" s="31"/>
      <c r="L73" s="41"/>
      <c r="M73" s="32"/>
      <c r="N73" s="31"/>
      <c r="O73" s="472"/>
      <c r="P73" s="465"/>
      <c r="Q73" s="44"/>
      <c r="R73" s="31"/>
      <c r="S73" s="41"/>
      <c r="T73" s="32"/>
      <c r="U73" s="31"/>
      <c r="V73" s="472"/>
      <c r="W73" s="465"/>
      <c r="X73" s="44"/>
      <c r="Y73" s="31"/>
      <c r="Z73" s="41"/>
      <c r="AA73" s="32"/>
      <c r="AB73" s="42"/>
      <c r="AC73" s="512"/>
      <c r="AD73" s="464"/>
      <c r="AE73" s="207"/>
      <c r="AF73" s="31"/>
      <c r="AG73" s="41"/>
      <c r="AH73" s="32"/>
      <c r="AI73" s="71"/>
      <c r="AJ73" s="472"/>
      <c r="AK73" s="465"/>
      <c r="AL73" s="43"/>
      <c r="AM73" s="42"/>
      <c r="AN73" s="41"/>
      <c r="AO73" s="32"/>
      <c r="AP73" s="31"/>
      <c r="AQ73" s="4">
        <f t="shared" si="17"/>
        <v>0</v>
      </c>
    </row>
    <row r="74" spans="1:43" ht="15" hidden="1" customHeight="1" thickBot="1" x14ac:dyDescent="0.25">
      <c r="A74" s="488"/>
      <c r="B74" s="465"/>
      <c r="C74" s="43"/>
      <c r="D74" s="31"/>
      <c r="E74" s="45"/>
      <c r="F74" s="32"/>
      <c r="G74" s="31"/>
      <c r="H74" s="488"/>
      <c r="I74" s="465"/>
      <c r="J74" s="44"/>
      <c r="K74" s="31"/>
      <c r="L74" s="41"/>
      <c r="M74" s="32"/>
      <c r="N74" s="31"/>
      <c r="O74" s="472"/>
      <c r="P74" s="465"/>
      <c r="Q74" s="44"/>
      <c r="R74" s="31"/>
      <c r="S74" s="41"/>
      <c r="T74" s="32"/>
      <c r="U74" s="31"/>
      <c r="V74" s="472"/>
      <c r="W74" s="465"/>
      <c r="X74" s="44"/>
      <c r="Y74" s="31"/>
      <c r="Z74" s="41"/>
      <c r="AA74" s="32"/>
      <c r="AB74" s="42"/>
      <c r="AC74" s="512"/>
      <c r="AD74" s="464"/>
      <c r="AE74" s="207"/>
      <c r="AF74" s="31"/>
      <c r="AG74" s="41"/>
      <c r="AH74" s="32"/>
      <c r="AI74" s="71"/>
      <c r="AJ74" s="472"/>
      <c r="AK74" s="465"/>
      <c r="AL74" s="43"/>
      <c r="AM74" s="42"/>
      <c r="AN74" s="41"/>
      <c r="AO74" s="32"/>
      <c r="AP74" s="31"/>
      <c r="AQ74" s="4">
        <f t="shared" ref="AQ74:AQ105" si="24">E74-L74-S74-Z74-AG74-AN74</f>
        <v>0</v>
      </c>
    </row>
    <row r="75" spans="1:43" ht="15" hidden="1" customHeight="1" thickBot="1" x14ac:dyDescent="0.25">
      <c r="A75" s="488"/>
      <c r="B75" s="465"/>
      <c r="C75" s="43"/>
      <c r="D75" s="31"/>
      <c r="E75" s="45"/>
      <c r="F75" s="32"/>
      <c r="G75" s="31"/>
      <c r="H75" s="488"/>
      <c r="I75" s="465"/>
      <c r="J75" s="44"/>
      <c r="K75" s="31"/>
      <c r="L75" s="41"/>
      <c r="M75" s="32"/>
      <c r="N75" s="31"/>
      <c r="O75" s="472"/>
      <c r="P75" s="465"/>
      <c r="Q75" s="44"/>
      <c r="R75" s="31"/>
      <c r="S75" s="41"/>
      <c r="T75" s="32"/>
      <c r="U75" s="31"/>
      <c r="V75" s="472"/>
      <c r="W75" s="465"/>
      <c r="X75" s="44"/>
      <c r="Y75" s="31"/>
      <c r="Z75" s="41"/>
      <c r="AA75" s="32"/>
      <c r="AB75" s="42"/>
      <c r="AC75" s="512"/>
      <c r="AD75" s="464"/>
      <c r="AE75" s="207"/>
      <c r="AF75" s="31"/>
      <c r="AG75" s="41"/>
      <c r="AH75" s="32"/>
      <c r="AI75" s="71"/>
      <c r="AJ75" s="472"/>
      <c r="AK75" s="465"/>
      <c r="AL75" s="43"/>
      <c r="AM75" s="42"/>
      <c r="AN75" s="41"/>
      <c r="AO75" s="32"/>
      <c r="AP75" s="31"/>
      <c r="AQ75" s="4">
        <f t="shared" si="24"/>
        <v>0</v>
      </c>
    </row>
    <row r="76" spans="1:43" ht="15" hidden="1" customHeight="1" thickBot="1" x14ac:dyDescent="0.25">
      <c r="A76" s="488"/>
      <c r="B76" s="465"/>
      <c r="C76" s="43"/>
      <c r="D76" s="31"/>
      <c r="E76" s="45"/>
      <c r="F76" s="32"/>
      <c r="G76" s="31"/>
      <c r="H76" s="488"/>
      <c r="I76" s="465"/>
      <c r="J76" s="44"/>
      <c r="K76" s="31"/>
      <c r="L76" s="41"/>
      <c r="M76" s="32"/>
      <c r="N76" s="31"/>
      <c r="O76" s="472"/>
      <c r="P76" s="465"/>
      <c r="Q76" s="44"/>
      <c r="R76" s="31"/>
      <c r="S76" s="41"/>
      <c r="T76" s="32"/>
      <c r="U76" s="31"/>
      <c r="V76" s="472"/>
      <c r="W76" s="465"/>
      <c r="X76" s="44"/>
      <c r="Y76" s="31"/>
      <c r="Z76" s="41"/>
      <c r="AA76" s="32"/>
      <c r="AB76" s="42"/>
      <c r="AC76" s="512"/>
      <c r="AD76" s="464"/>
      <c r="AE76" s="207"/>
      <c r="AF76" s="31"/>
      <c r="AG76" s="41"/>
      <c r="AH76" s="32"/>
      <c r="AI76" s="71"/>
      <c r="AJ76" s="472"/>
      <c r="AK76" s="465"/>
      <c r="AL76" s="43"/>
      <c r="AM76" s="42"/>
      <c r="AN76" s="41"/>
      <c r="AO76" s="32"/>
      <c r="AP76" s="31"/>
      <c r="AQ76" s="4">
        <f t="shared" si="24"/>
        <v>0</v>
      </c>
    </row>
    <row r="77" spans="1:43" ht="15" hidden="1" customHeight="1" thickBot="1" x14ac:dyDescent="0.25">
      <c r="A77" s="488"/>
      <c r="B77" s="465"/>
      <c r="C77" s="43"/>
      <c r="D77" s="31"/>
      <c r="E77" s="45"/>
      <c r="F77" s="32"/>
      <c r="G77" s="31"/>
      <c r="H77" s="488"/>
      <c r="I77" s="465"/>
      <c r="J77" s="44"/>
      <c r="K77" s="31"/>
      <c r="L77" s="41"/>
      <c r="M77" s="32"/>
      <c r="N77" s="31"/>
      <c r="O77" s="472"/>
      <c r="P77" s="465"/>
      <c r="Q77" s="44"/>
      <c r="R77" s="31"/>
      <c r="S77" s="41"/>
      <c r="T77" s="32"/>
      <c r="U77" s="31"/>
      <c r="V77" s="472"/>
      <c r="W77" s="465"/>
      <c r="X77" s="44"/>
      <c r="Y77" s="31"/>
      <c r="Z77" s="41"/>
      <c r="AA77" s="32"/>
      <c r="AB77" s="42"/>
      <c r="AC77" s="512"/>
      <c r="AD77" s="464"/>
      <c r="AE77" s="207"/>
      <c r="AF77" s="31"/>
      <c r="AG77" s="41"/>
      <c r="AH77" s="32"/>
      <c r="AI77" s="71"/>
      <c r="AJ77" s="472"/>
      <c r="AK77" s="465"/>
      <c r="AL77" s="43"/>
      <c r="AM77" s="42"/>
      <c r="AN77" s="41"/>
      <c r="AO77" s="32"/>
      <c r="AP77" s="31"/>
      <c r="AQ77" s="4">
        <f t="shared" si="24"/>
        <v>0</v>
      </c>
    </row>
    <row r="78" spans="1:43" ht="15" hidden="1" customHeight="1" thickBot="1" x14ac:dyDescent="0.25">
      <c r="A78" s="488"/>
      <c r="B78" s="465"/>
      <c r="C78" s="43"/>
      <c r="D78" s="31"/>
      <c r="E78" s="45"/>
      <c r="F78" s="32"/>
      <c r="G78" s="31"/>
      <c r="H78" s="488"/>
      <c r="I78" s="465"/>
      <c r="J78" s="44"/>
      <c r="K78" s="31"/>
      <c r="L78" s="41"/>
      <c r="M78" s="32"/>
      <c r="N78" s="31"/>
      <c r="O78" s="472"/>
      <c r="P78" s="465"/>
      <c r="Q78" s="44"/>
      <c r="R78" s="31"/>
      <c r="S78" s="41"/>
      <c r="T78" s="32"/>
      <c r="U78" s="31"/>
      <c r="V78" s="472"/>
      <c r="W78" s="465"/>
      <c r="X78" s="44"/>
      <c r="Y78" s="31"/>
      <c r="Z78" s="41"/>
      <c r="AA78" s="32"/>
      <c r="AB78" s="42"/>
      <c r="AC78" s="512"/>
      <c r="AD78" s="464"/>
      <c r="AE78" s="207"/>
      <c r="AF78" s="31"/>
      <c r="AG78" s="41"/>
      <c r="AH78" s="32"/>
      <c r="AI78" s="71"/>
      <c r="AJ78" s="472"/>
      <c r="AK78" s="465"/>
      <c r="AL78" s="43"/>
      <c r="AM78" s="42"/>
      <c r="AN78" s="41"/>
      <c r="AO78" s="32"/>
      <c r="AP78" s="31"/>
      <c r="AQ78" s="4">
        <f t="shared" si="24"/>
        <v>0</v>
      </c>
    </row>
    <row r="79" spans="1:43" ht="15" hidden="1" customHeight="1" thickBot="1" x14ac:dyDescent="0.25">
      <c r="A79" s="488"/>
      <c r="B79" s="465"/>
      <c r="C79" s="43"/>
      <c r="D79" s="31"/>
      <c r="E79" s="45"/>
      <c r="F79" s="32"/>
      <c r="G79" s="31"/>
      <c r="H79" s="488"/>
      <c r="I79" s="465"/>
      <c r="J79" s="44"/>
      <c r="K79" s="31"/>
      <c r="L79" s="41"/>
      <c r="M79" s="32"/>
      <c r="N79" s="31"/>
      <c r="O79" s="472"/>
      <c r="P79" s="465"/>
      <c r="Q79" s="44"/>
      <c r="R79" s="31"/>
      <c r="S79" s="41"/>
      <c r="T79" s="32"/>
      <c r="U79" s="31"/>
      <c r="V79" s="472"/>
      <c r="W79" s="465"/>
      <c r="X79" s="44"/>
      <c r="Y79" s="31"/>
      <c r="Z79" s="41"/>
      <c r="AA79" s="32"/>
      <c r="AB79" s="42"/>
      <c r="AC79" s="512"/>
      <c r="AD79" s="464"/>
      <c r="AE79" s="207"/>
      <c r="AF79" s="31"/>
      <c r="AG79" s="41"/>
      <c r="AH79" s="32"/>
      <c r="AI79" s="71"/>
      <c r="AJ79" s="472"/>
      <c r="AK79" s="465"/>
      <c r="AL79" s="43"/>
      <c r="AM79" s="42"/>
      <c r="AN79" s="41"/>
      <c r="AO79" s="32"/>
      <c r="AP79" s="31"/>
      <c r="AQ79" s="4">
        <f t="shared" si="24"/>
        <v>0</v>
      </c>
    </row>
    <row r="80" spans="1:43" ht="15" hidden="1" customHeight="1" thickBot="1" x14ac:dyDescent="0.25">
      <c r="A80" s="488"/>
      <c r="B80" s="465"/>
      <c r="C80" s="43"/>
      <c r="D80" s="31"/>
      <c r="E80" s="45"/>
      <c r="F80" s="32"/>
      <c r="G80" s="31"/>
      <c r="H80" s="488"/>
      <c r="I80" s="465"/>
      <c r="J80" s="44"/>
      <c r="K80" s="31"/>
      <c r="L80" s="41"/>
      <c r="M80" s="32"/>
      <c r="N80" s="31"/>
      <c r="O80" s="472"/>
      <c r="P80" s="465"/>
      <c r="Q80" s="44"/>
      <c r="R80" s="31"/>
      <c r="S80" s="41"/>
      <c r="T80" s="32"/>
      <c r="U80" s="31"/>
      <c r="V80" s="472"/>
      <c r="W80" s="465"/>
      <c r="X80" s="44"/>
      <c r="Y80" s="31"/>
      <c r="Z80" s="41"/>
      <c r="AA80" s="32"/>
      <c r="AB80" s="42"/>
      <c r="AC80" s="512"/>
      <c r="AD80" s="464"/>
      <c r="AE80" s="207"/>
      <c r="AF80" s="31"/>
      <c r="AG80" s="41"/>
      <c r="AH80" s="32"/>
      <c r="AI80" s="71"/>
      <c r="AJ80" s="472"/>
      <c r="AK80" s="465"/>
      <c r="AL80" s="43"/>
      <c r="AM80" s="42"/>
      <c r="AN80" s="41"/>
      <c r="AO80" s="32"/>
      <c r="AP80" s="31"/>
      <c r="AQ80" s="4">
        <f t="shared" si="24"/>
        <v>0</v>
      </c>
    </row>
    <row r="81" spans="1:43" ht="15" hidden="1" customHeight="1" thickBot="1" x14ac:dyDescent="0.25">
      <c r="A81" s="488"/>
      <c r="B81" s="465"/>
      <c r="C81" s="43"/>
      <c r="D81" s="31"/>
      <c r="E81" s="45"/>
      <c r="F81" s="32"/>
      <c r="G81" s="31"/>
      <c r="H81" s="488"/>
      <c r="I81" s="465"/>
      <c r="J81" s="44"/>
      <c r="K81" s="31"/>
      <c r="L81" s="41"/>
      <c r="M81" s="32"/>
      <c r="N81" s="31"/>
      <c r="O81" s="472"/>
      <c r="P81" s="465"/>
      <c r="Q81" s="44"/>
      <c r="R81" s="31"/>
      <c r="S81" s="41"/>
      <c r="T81" s="32"/>
      <c r="U81" s="31"/>
      <c r="V81" s="472"/>
      <c r="W81" s="465"/>
      <c r="X81" s="44"/>
      <c r="Y81" s="31"/>
      <c r="Z81" s="41"/>
      <c r="AA81" s="32"/>
      <c r="AB81" s="42"/>
      <c r="AC81" s="512"/>
      <c r="AD81" s="464"/>
      <c r="AE81" s="207"/>
      <c r="AF81" s="31"/>
      <c r="AG81" s="41"/>
      <c r="AH81" s="32"/>
      <c r="AI81" s="71"/>
      <c r="AJ81" s="472"/>
      <c r="AK81" s="465"/>
      <c r="AL81" s="43"/>
      <c r="AM81" s="42"/>
      <c r="AN81" s="41"/>
      <c r="AO81" s="32"/>
      <c r="AP81" s="31"/>
      <c r="AQ81" s="4">
        <f t="shared" si="24"/>
        <v>0</v>
      </c>
    </row>
    <row r="82" spans="1:43" ht="15" hidden="1" customHeight="1" thickBot="1" x14ac:dyDescent="0.25">
      <c r="A82" s="488"/>
      <c r="B82" s="465"/>
      <c r="C82" s="43"/>
      <c r="D82" s="31"/>
      <c r="E82" s="45"/>
      <c r="F82" s="32"/>
      <c r="G82" s="31"/>
      <c r="H82" s="488"/>
      <c r="I82" s="465"/>
      <c r="J82" s="44"/>
      <c r="K82" s="31"/>
      <c r="L82" s="41"/>
      <c r="M82" s="32"/>
      <c r="N82" s="31"/>
      <c r="O82" s="472"/>
      <c r="P82" s="465"/>
      <c r="Q82" s="44"/>
      <c r="R82" s="31"/>
      <c r="S82" s="41"/>
      <c r="T82" s="32"/>
      <c r="U82" s="31"/>
      <c r="V82" s="472"/>
      <c r="W82" s="465"/>
      <c r="X82" s="44"/>
      <c r="Y82" s="31"/>
      <c r="Z82" s="41"/>
      <c r="AA82" s="32"/>
      <c r="AB82" s="42"/>
      <c r="AC82" s="512"/>
      <c r="AD82" s="464"/>
      <c r="AE82" s="207"/>
      <c r="AF82" s="31"/>
      <c r="AG82" s="41"/>
      <c r="AH82" s="32"/>
      <c r="AI82" s="71"/>
      <c r="AJ82" s="472"/>
      <c r="AK82" s="465"/>
      <c r="AL82" s="43"/>
      <c r="AM82" s="42"/>
      <c r="AN82" s="41"/>
      <c r="AO82" s="32"/>
      <c r="AP82" s="31"/>
      <c r="AQ82" s="4">
        <f t="shared" si="24"/>
        <v>0</v>
      </c>
    </row>
    <row r="83" spans="1:43" ht="15" hidden="1" customHeight="1" thickBot="1" x14ac:dyDescent="0.25">
      <c r="A83" s="488"/>
      <c r="B83" s="465"/>
      <c r="C83" s="43"/>
      <c r="D83" s="31"/>
      <c r="E83" s="45"/>
      <c r="F83" s="32"/>
      <c r="G83" s="31"/>
      <c r="H83" s="488"/>
      <c r="I83" s="465"/>
      <c r="J83" s="44"/>
      <c r="K83" s="31"/>
      <c r="L83" s="41"/>
      <c r="M83" s="32"/>
      <c r="N83" s="31"/>
      <c r="O83" s="472"/>
      <c r="P83" s="465"/>
      <c r="Q83" s="44"/>
      <c r="R83" s="31"/>
      <c r="S83" s="41"/>
      <c r="T83" s="32"/>
      <c r="U83" s="31"/>
      <c r="V83" s="472"/>
      <c r="W83" s="465"/>
      <c r="X83" s="44"/>
      <c r="Y83" s="31"/>
      <c r="Z83" s="41"/>
      <c r="AA83" s="32"/>
      <c r="AB83" s="42"/>
      <c r="AC83" s="512"/>
      <c r="AD83" s="464"/>
      <c r="AE83" s="207"/>
      <c r="AF83" s="31"/>
      <c r="AG83" s="41"/>
      <c r="AH83" s="32"/>
      <c r="AI83" s="71"/>
      <c r="AJ83" s="472"/>
      <c r="AK83" s="465"/>
      <c r="AL83" s="43"/>
      <c r="AM83" s="42"/>
      <c r="AN83" s="41"/>
      <c r="AO83" s="32"/>
      <c r="AP83" s="31"/>
      <c r="AQ83" s="4">
        <f t="shared" si="24"/>
        <v>0</v>
      </c>
    </row>
    <row r="84" spans="1:43" ht="15" hidden="1" customHeight="1" thickBot="1" x14ac:dyDescent="0.25">
      <c r="A84" s="488"/>
      <c r="B84" s="465"/>
      <c r="C84" s="43"/>
      <c r="D84" s="31"/>
      <c r="E84" s="45"/>
      <c r="F84" s="32"/>
      <c r="G84" s="31"/>
      <c r="H84" s="488"/>
      <c r="I84" s="465"/>
      <c r="J84" s="44"/>
      <c r="K84" s="31"/>
      <c r="L84" s="41"/>
      <c r="M84" s="32"/>
      <c r="N84" s="31"/>
      <c r="O84" s="472"/>
      <c r="P84" s="465"/>
      <c r="Q84" s="44"/>
      <c r="R84" s="31"/>
      <c r="S84" s="41"/>
      <c r="T84" s="32"/>
      <c r="U84" s="31"/>
      <c r="V84" s="472"/>
      <c r="W84" s="465"/>
      <c r="X84" s="44"/>
      <c r="Y84" s="31"/>
      <c r="Z84" s="41"/>
      <c r="AA84" s="32"/>
      <c r="AB84" s="42"/>
      <c r="AC84" s="512"/>
      <c r="AD84" s="464"/>
      <c r="AE84" s="207"/>
      <c r="AF84" s="31"/>
      <c r="AG84" s="41"/>
      <c r="AH84" s="32"/>
      <c r="AI84" s="71"/>
      <c r="AJ84" s="472"/>
      <c r="AK84" s="465"/>
      <c r="AL84" s="43"/>
      <c r="AM84" s="42"/>
      <c r="AN84" s="41"/>
      <c r="AO84" s="32"/>
      <c r="AP84" s="31"/>
      <c r="AQ84" s="4">
        <f t="shared" si="24"/>
        <v>0</v>
      </c>
    </row>
    <row r="85" spans="1:43" ht="15" hidden="1" customHeight="1" thickBot="1" x14ac:dyDescent="0.25">
      <c r="A85" s="488"/>
      <c r="B85" s="465"/>
      <c r="C85" s="43"/>
      <c r="D85" s="31"/>
      <c r="E85" s="45"/>
      <c r="F85" s="32"/>
      <c r="G85" s="31"/>
      <c r="H85" s="488"/>
      <c r="I85" s="465"/>
      <c r="J85" s="44"/>
      <c r="K85" s="31"/>
      <c r="L85" s="41"/>
      <c r="M85" s="32"/>
      <c r="N85" s="31"/>
      <c r="O85" s="472"/>
      <c r="P85" s="465"/>
      <c r="Q85" s="44"/>
      <c r="R85" s="31"/>
      <c r="S85" s="41"/>
      <c r="T85" s="32"/>
      <c r="U85" s="31"/>
      <c r="V85" s="472"/>
      <c r="W85" s="465"/>
      <c r="X85" s="44"/>
      <c r="Y85" s="31"/>
      <c r="Z85" s="41"/>
      <c r="AA85" s="32"/>
      <c r="AB85" s="42"/>
      <c r="AC85" s="512"/>
      <c r="AD85" s="464"/>
      <c r="AE85" s="207"/>
      <c r="AF85" s="31"/>
      <c r="AG85" s="41"/>
      <c r="AH85" s="32"/>
      <c r="AI85" s="71"/>
      <c r="AJ85" s="472"/>
      <c r="AK85" s="465"/>
      <c r="AL85" s="43"/>
      <c r="AM85" s="42"/>
      <c r="AN85" s="41"/>
      <c r="AO85" s="32"/>
      <c r="AP85" s="31"/>
      <c r="AQ85" s="4">
        <f t="shared" si="24"/>
        <v>0</v>
      </c>
    </row>
    <row r="86" spans="1:43" ht="15" hidden="1" customHeight="1" thickBot="1" x14ac:dyDescent="0.25">
      <c r="A86" s="488"/>
      <c r="B86" s="465"/>
      <c r="C86" s="43"/>
      <c r="D86" s="31"/>
      <c r="E86" s="45"/>
      <c r="F86" s="32"/>
      <c r="G86" s="31"/>
      <c r="H86" s="488"/>
      <c r="I86" s="465"/>
      <c r="J86" s="44"/>
      <c r="K86" s="31"/>
      <c r="L86" s="41"/>
      <c r="M86" s="32"/>
      <c r="N86" s="31"/>
      <c r="O86" s="472"/>
      <c r="P86" s="465"/>
      <c r="Q86" s="44"/>
      <c r="R86" s="31"/>
      <c r="S86" s="41"/>
      <c r="T86" s="32"/>
      <c r="U86" s="31"/>
      <c r="V86" s="472"/>
      <c r="W86" s="465"/>
      <c r="X86" s="44"/>
      <c r="Y86" s="31"/>
      <c r="Z86" s="41"/>
      <c r="AA86" s="32"/>
      <c r="AB86" s="42"/>
      <c r="AC86" s="512"/>
      <c r="AD86" s="464"/>
      <c r="AE86" s="207"/>
      <c r="AF86" s="31"/>
      <c r="AG86" s="41"/>
      <c r="AH86" s="32"/>
      <c r="AI86" s="71"/>
      <c r="AJ86" s="472"/>
      <c r="AK86" s="465"/>
      <c r="AL86" s="43"/>
      <c r="AM86" s="42"/>
      <c r="AN86" s="41"/>
      <c r="AO86" s="32"/>
      <c r="AP86" s="31"/>
      <c r="AQ86" s="4">
        <f t="shared" si="24"/>
        <v>0</v>
      </c>
    </row>
    <row r="87" spans="1:43" ht="15" hidden="1" customHeight="1" thickBot="1" x14ac:dyDescent="0.25">
      <c r="A87" s="488"/>
      <c r="B87" s="465"/>
      <c r="C87" s="43"/>
      <c r="D87" s="31"/>
      <c r="E87" s="45"/>
      <c r="F87" s="32"/>
      <c r="G87" s="31"/>
      <c r="H87" s="488"/>
      <c r="I87" s="465"/>
      <c r="J87" s="44"/>
      <c r="K87" s="31"/>
      <c r="L87" s="41"/>
      <c r="M87" s="32"/>
      <c r="N87" s="31"/>
      <c r="O87" s="472"/>
      <c r="P87" s="465"/>
      <c r="Q87" s="44"/>
      <c r="R87" s="31"/>
      <c r="S87" s="41"/>
      <c r="T87" s="32"/>
      <c r="U87" s="31"/>
      <c r="V87" s="472"/>
      <c r="W87" s="465"/>
      <c r="X87" s="44"/>
      <c r="Y87" s="31"/>
      <c r="Z87" s="41"/>
      <c r="AA87" s="32"/>
      <c r="AB87" s="42"/>
      <c r="AC87" s="512"/>
      <c r="AD87" s="464"/>
      <c r="AE87" s="207"/>
      <c r="AF87" s="31"/>
      <c r="AG87" s="41"/>
      <c r="AH87" s="32"/>
      <c r="AI87" s="71"/>
      <c r="AJ87" s="472"/>
      <c r="AK87" s="465"/>
      <c r="AL87" s="43"/>
      <c r="AM87" s="42"/>
      <c r="AN87" s="41"/>
      <c r="AO87" s="32"/>
      <c r="AP87" s="31"/>
      <c r="AQ87" s="4">
        <f t="shared" si="24"/>
        <v>0</v>
      </c>
    </row>
    <row r="88" spans="1:43" ht="15" hidden="1" customHeight="1" thickBot="1" x14ac:dyDescent="0.25">
      <c r="A88" s="488"/>
      <c r="B88" s="465"/>
      <c r="C88" s="43"/>
      <c r="D88" s="31"/>
      <c r="E88" s="45"/>
      <c r="F88" s="32"/>
      <c r="G88" s="31"/>
      <c r="H88" s="488"/>
      <c r="I88" s="465"/>
      <c r="J88" s="44"/>
      <c r="K88" s="31"/>
      <c r="L88" s="41"/>
      <c r="M88" s="32"/>
      <c r="N88" s="31"/>
      <c r="O88" s="472"/>
      <c r="P88" s="465"/>
      <c r="Q88" s="44"/>
      <c r="R88" s="31"/>
      <c r="S88" s="41"/>
      <c r="T88" s="32"/>
      <c r="U88" s="31"/>
      <c r="V88" s="472"/>
      <c r="W88" s="465"/>
      <c r="X88" s="44"/>
      <c r="Y88" s="31"/>
      <c r="Z88" s="41"/>
      <c r="AA88" s="32"/>
      <c r="AB88" s="42"/>
      <c r="AC88" s="512"/>
      <c r="AD88" s="464"/>
      <c r="AE88" s="207"/>
      <c r="AF88" s="31"/>
      <c r="AG88" s="41"/>
      <c r="AH88" s="32"/>
      <c r="AI88" s="71"/>
      <c r="AJ88" s="472"/>
      <c r="AK88" s="465"/>
      <c r="AL88" s="43"/>
      <c r="AM88" s="42"/>
      <c r="AN88" s="41"/>
      <c r="AO88" s="32"/>
      <c r="AP88" s="31"/>
      <c r="AQ88" s="4">
        <f t="shared" si="24"/>
        <v>0</v>
      </c>
    </row>
    <row r="89" spans="1:43" ht="15" hidden="1" customHeight="1" thickBot="1" x14ac:dyDescent="0.25">
      <c r="A89" s="488"/>
      <c r="B89" s="464"/>
      <c r="C89" s="38"/>
      <c r="D89" s="38"/>
      <c r="E89" s="40">
        <v>49</v>
      </c>
      <c r="F89" s="39">
        <v>22262958.999999996</v>
      </c>
      <c r="G89" s="38"/>
      <c r="H89" s="488"/>
      <c r="I89" s="464"/>
      <c r="J89" s="9"/>
      <c r="K89" s="31"/>
      <c r="L89" s="37">
        <f>SUM(L67:L88)</f>
        <v>23.112255406797122</v>
      </c>
      <c r="M89" s="32">
        <f>SUM(M67:M88)</f>
        <v>10500963.153450051</v>
      </c>
      <c r="N89" s="31"/>
      <c r="O89" s="472"/>
      <c r="P89" s="464"/>
      <c r="Q89" s="9"/>
      <c r="R89" s="31"/>
      <c r="S89" s="37">
        <f>SUM(S67:S88)</f>
        <v>0.10092687950566429</v>
      </c>
      <c r="T89" s="32">
        <f>SUM(T67:T88)</f>
        <v>45855.734294541711</v>
      </c>
      <c r="U89" s="31"/>
      <c r="V89" s="472"/>
      <c r="W89" s="464"/>
      <c r="X89" s="9"/>
      <c r="Y89" s="31"/>
      <c r="Z89" s="37">
        <f>SUM(Z67:Z88)</f>
        <v>21.951596292481984</v>
      </c>
      <c r="AA89" s="32">
        <f>SUM(AA67:AA88)</f>
        <v>9973622.2090628222</v>
      </c>
      <c r="AB89" s="42"/>
      <c r="AC89" s="512"/>
      <c r="AD89" s="464"/>
      <c r="AE89" s="254"/>
      <c r="AF89" s="14"/>
      <c r="AG89" s="251">
        <f>SUM(AG67:AG88)</f>
        <v>0.10092687950566429</v>
      </c>
      <c r="AH89" s="19">
        <f>SUM(AH67:AH88)</f>
        <v>45855.734294541711</v>
      </c>
      <c r="AI89" s="219"/>
      <c r="AJ89" s="472"/>
      <c r="AK89" s="464"/>
      <c r="AL89" s="38"/>
      <c r="AM89" s="9"/>
      <c r="AN89" s="37">
        <f>SUM(AN67:AN88)</f>
        <v>3.7342945417095783</v>
      </c>
      <c r="AO89" s="32">
        <f>SUM(AO67:AO88)</f>
        <v>1696662.1688980432</v>
      </c>
      <c r="AP89" s="31"/>
      <c r="AQ89" s="4">
        <f t="shared" si="24"/>
        <v>-1.1990408665951691E-14</v>
      </c>
    </row>
    <row r="90" spans="1:43" ht="15" thickBot="1" x14ac:dyDescent="0.25">
      <c r="A90" s="488"/>
      <c r="B90" s="464"/>
      <c r="C90" s="468" t="s">
        <v>36</v>
      </c>
      <c r="D90" s="468"/>
      <c r="E90" s="468"/>
      <c r="F90" s="468"/>
      <c r="G90" s="469"/>
      <c r="H90" s="488"/>
      <c r="I90" s="464"/>
      <c r="J90" s="468" t="s">
        <v>36</v>
      </c>
      <c r="K90" s="471"/>
      <c r="L90" s="471"/>
      <c r="M90" s="471"/>
      <c r="N90" s="472"/>
      <c r="O90" s="488"/>
      <c r="P90" s="464"/>
      <c r="Q90" s="468" t="s">
        <v>36</v>
      </c>
      <c r="R90" s="471"/>
      <c r="S90" s="471"/>
      <c r="T90" s="471"/>
      <c r="U90" s="472"/>
      <c r="V90" s="488"/>
      <c r="W90" s="464"/>
      <c r="X90" s="468" t="s">
        <v>36</v>
      </c>
      <c r="Y90" s="471"/>
      <c r="Z90" s="471"/>
      <c r="AA90" s="471"/>
      <c r="AB90" s="471"/>
      <c r="AC90" s="512"/>
      <c r="AD90" s="464"/>
      <c r="AE90" s="466" t="s">
        <v>36</v>
      </c>
      <c r="AF90" s="466"/>
      <c r="AG90" s="466"/>
      <c r="AH90" s="466"/>
      <c r="AI90" s="467"/>
      <c r="AJ90" s="472"/>
      <c r="AK90" s="464"/>
      <c r="AL90" s="468" t="s">
        <v>36</v>
      </c>
      <c r="AM90" s="468"/>
      <c r="AN90" s="471"/>
      <c r="AO90" s="471"/>
      <c r="AP90" s="472"/>
      <c r="AQ90" s="4">
        <f t="shared" si="24"/>
        <v>0</v>
      </c>
    </row>
    <row r="91" spans="1:43" ht="25.5" x14ac:dyDescent="0.2">
      <c r="A91" s="488"/>
      <c r="B91" s="465"/>
      <c r="C91" s="34" t="s">
        <v>35</v>
      </c>
      <c r="D91" s="31" t="s">
        <v>12</v>
      </c>
      <c r="E91" s="32">
        <v>1</v>
      </c>
      <c r="F91" s="32">
        <v>50000</v>
      </c>
      <c r="G91" s="31">
        <f t="shared" ref="G91:G118" si="25">E91/F91</f>
        <v>2.0000000000000002E-5</v>
      </c>
      <c r="H91" s="488"/>
      <c r="I91" s="465"/>
      <c r="J91" s="34" t="s">
        <v>35</v>
      </c>
      <c r="K91" s="31" t="s">
        <v>12</v>
      </c>
      <c r="L91" s="13">
        <f>$G$91*M91-0.1</f>
        <v>0.37167868480617539</v>
      </c>
      <c r="M91" s="12">
        <f t="shared" ref="M91:M113" si="26">$N$124/($F$119-558160)*F91</f>
        <v>23583.934240308768</v>
      </c>
      <c r="N91" s="31"/>
      <c r="O91" s="488"/>
      <c r="P91" s="465"/>
      <c r="Q91" s="34" t="s">
        <v>35</v>
      </c>
      <c r="R91" s="31" t="s">
        <v>12</v>
      </c>
      <c r="S91" s="13">
        <f>$G$91*T91+0.1</f>
        <v>0.10205973357432295</v>
      </c>
      <c r="T91" s="12">
        <f t="shared" ref="T91:T113" si="27">$U$124/($F$119-558160)*F91</f>
        <v>102.98667871614751</v>
      </c>
      <c r="U91" s="31"/>
      <c r="V91" s="488"/>
      <c r="W91" s="465"/>
      <c r="X91" s="34" t="s">
        <v>35</v>
      </c>
      <c r="Y91" s="31" t="s">
        <v>12</v>
      </c>
      <c r="Z91" s="13">
        <f>$G$91*AA91-0.1</f>
        <v>0.34799176468639736</v>
      </c>
      <c r="AA91" s="20">
        <f t="shared" ref="AA91:AA113" si="28">$AB$124/($F$119-558160)*F91</f>
        <v>22399.588234319865</v>
      </c>
      <c r="AB91" s="42"/>
      <c r="AC91" s="512"/>
      <c r="AD91" s="464"/>
      <c r="AE91" s="255" t="s">
        <v>35</v>
      </c>
      <c r="AF91" s="128" t="s">
        <v>12</v>
      </c>
      <c r="AG91" s="243">
        <f>$G$91*AH91+0.1</f>
        <v>0.10205973357432295</v>
      </c>
      <c r="AH91" s="244">
        <f t="shared" ref="AH91:AH113" si="29">$AI$124/($F$119-558160)*F91</f>
        <v>102.98667871614751</v>
      </c>
      <c r="AI91" s="340" t="s">
        <v>150</v>
      </c>
      <c r="AJ91" s="472"/>
      <c r="AK91" s="465"/>
      <c r="AL91" s="34" t="s">
        <v>35</v>
      </c>
      <c r="AM91" s="31" t="s">
        <v>12</v>
      </c>
      <c r="AN91" s="13">
        <f>$G$91*AO91</f>
        <v>7.6210092769164794E-2</v>
      </c>
      <c r="AO91" s="12">
        <f t="shared" ref="AO91:AO113" si="30">$AP$123/($F$119-558160)*F91</f>
        <v>3810.5046384582392</v>
      </c>
      <c r="AP91" s="31"/>
      <c r="AQ91" s="4">
        <f t="shared" si="24"/>
        <v>-9.4103834585856916E-9</v>
      </c>
    </row>
    <row r="92" spans="1:43" ht="25.5" x14ac:dyDescent="0.2">
      <c r="A92" s="488"/>
      <c r="B92" s="465"/>
      <c r="C92" s="34" t="s">
        <v>34</v>
      </c>
      <c r="D92" s="31" t="s">
        <v>12</v>
      </c>
      <c r="E92" s="32">
        <v>1</v>
      </c>
      <c r="F92" s="32">
        <v>9126.25</v>
      </c>
      <c r="G92" s="31">
        <f t="shared" si="25"/>
        <v>1.0957403095466375E-4</v>
      </c>
      <c r="H92" s="488"/>
      <c r="I92" s="465"/>
      <c r="J92" s="34" t="s">
        <v>34</v>
      </c>
      <c r="K92" s="31" t="s">
        <v>12</v>
      </c>
      <c r="L92" s="13">
        <f>$G$92*M92-0.1</f>
        <v>0.37167868480617539</v>
      </c>
      <c r="M92" s="12">
        <f t="shared" si="26"/>
        <v>4304.6575972123583</v>
      </c>
      <c r="N92" s="31"/>
      <c r="O92" s="488"/>
      <c r="P92" s="465"/>
      <c r="Q92" s="34" t="s">
        <v>34</v>
      </c>
      <c r="R92" s="31" t="s">
        <v>12</v>
      </c>
      <c r="S92" s="13">
        <f>$G$92*T92+0.1</f>
        <v>0.10205973357432295</v>
      </c>
      <c r="T92" s="12">
        <f t="shared" si="27"/>
        <v>18.797643532664825</v>
      </c>
      <c r="U92" s="31"/>
      <c r="V92" s="488"/>
      <c r="W92" s="465"/>
      <c r="X92" s="34" t="s">
        <v>34</v>
      </c>
      <c r="Y92" s="31" t="s">
        <v>12</v>
      </c>
      <c r="Z92" s="13">
        <f>$G$92*AA92-0.1</f>
        <v>0.34799176468639725</v>
      </c>
      <c r="AA92" s="20">
        <f t="shared" si="28"/>
        <v>4088.4848424692332</v>
      </c>
      <c r="AB92" s="42"/>
      <c r="AC92" s="512"/>
      <c r="AD92" s="464"/>
      <c r="AE92" s="209" t="s">
        <v>34</v>
      </c>
      <c r="AF92" s="31" t="s">
        <v>12</v>
      </c>
      <c r="AG92" s="13">
        <f>$G$92*AH92+0.1</f>
        <v>0.10205973357432295</v>
      </c>
      <c r="AH92" s="12">
        <f t="shared" si="29"/>
        <v>18.797643532664825</v>
      </c>
      <c r="AI92" s="71" t="s">
        <v>150</v>
      </c>
      <c r="AJ92" s="472"/>
      <c r="AK92" s="465"/>
      <c r="AL92" s="34" t="s">
        <v>34</v>
      </c>
      <c r="AM92" s="31" t="s">
        <v>12</v>
      </c>
      <c r="AN92" s="13">
        <f>$G$92*AO92</f>
        <v>7.6210092769164781E-2</v>
      </c>
      <c r="AO92" s="12">
        <f t="shared" si="30"/>
        <v>695.51235913459004</v>
      </c>
      <c r="AP92" s="31"/>
      <c r="AQ92" s="4">
        <f t="shared" si="24"/>
        <v>-9.4103833336856013E-9</v>
      </c>
    </row>
    <row r="93" spans="1:43" x14ac:dyDescent="0.2">
      <c r="A93" s="488"/>
      <c r="B93" s="465"/>
      <c r="C93" s="34" t="s">
        <v>33</v>
      </c>
      <c r="D93" s="31" t="s">
        <v>12</v>
      </c>
      <c r="E93" s="32">
        <v>1</v>
      </c>
      <c r="F93" s="32">
        <v>33053.599999999999</v>
      </c>
      <c r="G93" s="35">
        <f t="shared" si="25"/>
        <v>3.0253890650337634E-5</v>
      </c>
      <c r="H93" s="488"/>
      <c r="I93" s="465"/>
      <c r="J93" s="34" t="s">
        <v>33</v>
      </c>
      <c r="K93" s="31" t="s">
        <v>12</v>
      </c>
      <c r="L93" s="13">
        <f>$G$93*M93-0.1</f>
        <v>0.37167868480617539</v>
      </c>
      <c r="M93" s="12">
        <f t="shared" si="26"/>
        <v>15590.678576109398</v>
      </c>
      <c r="N93" s="31"/>
      <c r="O93" s="488"/>
      <c r="P93" s="465"/>
      <c r="Q93" s="34" t="s">
        <v>33</v>
      </c>
      <c r="R93" s="31" t="s">
        <v>12</v>
      </c>
      <c r="S93" s="13">
        <f>$G$93*T93+0.1</f>
        <v>0.10205973357432295</v>
      </c>
      <c r="T93" s="12">
        <f t="shared" si="27"/>
        <v>68.081609672241058</v>
      </c>
      <c r="U93" s="31"/>
      <c r="V93" s="488"/>
      <c r="W93" s="465"/>
      <c r="X93" s="34" t="s">
        <v>33</v>
      </c>
      <c r="Y93" s="31" t="s">
        <v>12</v>
      </c>
      <c r="Z93" s="13">
        <f>$G$93*AA93-0.1</f>
        <v>0.34799176468639725</v>
      </c>
      <c r="AA93" s="20">
        <f t="shared" si="28"/>
        <v>14807.740593238301</v>
      </c>
      <c r="AB93" s="42"/>
      <c r="AC93" s="512"/>
      <c r="AD93" s="464"/>
      <c r="AE93" s="209" t="s">
        <v>33</v>
      </c>
      <c r="AF93" s="31" t="s">
        <v>12</v>
      </c>
      <c r="AG93" s="13">
        <f>$G$93*AH93+0.1</f>
        <v>0.10205973357432295</v>
      </c>
      <c r="AH93" s="12">
        <f t="shared" si="29"/>
        <v>68.081609672241058</v>
      </c>
      <c r="AI93" s="71" t="s">
        <v>150</v>
      </c>
      <c r="AJ93" s="472"/>
      <c r="AK93" s="465"/>
      <c r="AL93" s="34" t="s">
        <v>33</v>
      </c>
      <c r="AM93" s="31" t="s">
        <v>12</v>
      </c>
      <c r="AN93" s="13">
        <f>$G$93*AO93</f>
        <v>7.6210092769164781E-2</v>
      </c>
      <c r="AO93" s="12">
        <f t="shared" si="30"/>
        <v>2519.0179223548648</v>
      </c>
      <c r="AP93" s="31"/>
      <c r="AQ93" s="4">
        <f t="shared" si="24"/>
        <v>-9.4103833336856013E-9</v>
      </c>
    </row>
    <row r="94" spans="1:43" x14ac:dyDescent="0.2">
      <c r="A94" s="488"/>
      <c r="B94" s="465"/>
      <c r="C94" s="34" t="s">
        <v>32</v>
      </c>
      <c r="D94" s="31" t="s">
        <v>12</v>
      </c>
      <c r="E94" s="32">
        <v>1</v>
      </c>
      <c r="F94" s="32">
        <v>5736.5</v>
      </c>
      <c r="G94" s="35">
        <f t="shared" si="25"/>
        <v>1.743223219733287E-4</v>
      </c>
      <c r="H94" s="488"/>
      <c r="I94" s="465"/>
      <c r="J94" s="34" t="s">
        <v>32</v>
      </c>
      <c r="K94" s="31" t="s">
        <v>12</v>
      </c>
      <c r="L94" s="13">
        <f>$G$94*M94-0.1</f>
        <v>0.37167868480617539</v>
      </c>
      <c r="M94" s="12">
        <f t="shared" si="26"/>
        <v>2705.7847753906249</v>
      </c>
      <c r="N94" s="31"/>
      <c r="O94" s="488"/>
      <c r="P94" s="465"/>
      <c r="Q94" s="34" t="s">
        <v>32</v>
      </c>
      <c r="R94" s="31" t="s">
        <v>12</v>
      </c>
      <c r="S94" s="13">
        <f>$G$94*T94+0.1</f>
        <v>0.10205973357432295</v>
      </c>
      <c r="T94" s="12">
        <f t="shared" si="27"/>
        <v>11.815661649103603</v>
      </c>
      <c r="U94" s="31"/>
      <c r="V94" s="488"/>
      <c r="W94" s="465"/>
      <c r="X94" s="34" t="s">
        <v>32</v>
      </c>
      <c r="Y94" s="31" t="s">
        <v>12</v>
      </c>
      <c r="Z94" s="13">
        <f>$G$94*AA94-0.1</f>
        <v>0.34799176468639736</v>
      </c>
      <c r="AA94" s="20">
        <f t="shared" si="28"/>
        <v>2569.9047581235181</v>
      </c>
      <c r="AB94" s="42"/>
      <c r="AC94" s="512"/>
      <c r="AD94" s="464"/>
      <c r="AE94" s="209" t="s">
        <v>32</v>
      </c>
      <c r="AF94" s="31" t="s">
        <v>12</v>
      </c>
      <c r="AG94" s="13">
        <f>$G$94*AH94+0.1</f>
        <v>0.10205973357432295</v>
      </c>
      <c r="AH94" s="12">
        <f t="shared" si="29"/>
        <v>11.815661649103603</v>
      </c>
      <c r="AI94" s="71" t="s">
        <v>150</v>
      </c>
      <c r="AJ94" s="472"/>
      <c r="AK94" s="465"/>
      <c r="AL94" s="34" t="s">
        <v>32</v>
      </c>
      <c r="AM94" s="31" t="s">
        <v>12</v>
      </c>
      <c r="AN94" s="13">
        <f>$G$94*AO94</f>
        <v>7.6210092769164794E-2</v>
      </c>
      <c r="AO94" s="12">
        <f t="shared" si="30"/>
        <v>437.17919717031378</v>
      </c>
      <c r="AP94" s="31"/>
      <c r="AQ94" s="4">
        <f t="shared" si="24"/>
        <v>-9.4103834585856916E-9</v>
      </c>
    </row>
    <row r="95" spans="1:43" ht="25.5" x14ac:dyDescent="0.2">
      <c r="A95" s="488"/>
      <c r="B95" s="465"/>
      <c r="C95" s="34" t="s">
        <v>31</v>
      </c>
      <c r="D95" s="31" t="s">
        <v>12</v>
      </c>
      <c r="E95" s="32">
        <v>1</v>
      </c>
      <c r="F95" s="32">
        <v>62315</v>
      </c>
      <c r="G95" s="35">
        <f t="shared" si="25"/>
        <v>1.6047500601781271E-5</v>
      </c>
      <c r="H95" s="488"/>
      <c r="I95" s="465"/>
      <c r="J95" s="34" t="s">
        <v>31</v>
      </c>
      <c r="K95" s="31" t="s">
        <v>12</v>
      </c>
      <c r="L95" s="13">
        <f>$G$95*M95-0.1</f>
        <v>0.37167868480617527</v>
      </c>
      <c r="M95" s="12">
        <f t="shared" si="26"/>
        <v>29392.657243696816</v>
      </c>
      <c r="N95" s="31"/>
      <c r="O95" s="488"/>
      <c r="P95" s="465"/>
      <c r="Q95" s="34" t="s">
        <v>31</v>
      </c>
      <c r="R95" s="31" t="s">
        <v>12</v>
      </c>
      <c r="S95" s="13">
        <f>$G$95*T95+0.1</f>
        <v>0.10205973357432295</v>
      </c>
      <c r="T95" s="12">
        <f t="shared" si="27"/>
        <v>128.35229768393464</v>
      </c>
      <c r="U95" s="31"/>
      <c r="V95" s="488"/>
      <c r="W95" s="465"/>
      <c r="X95" s="34" t="s">
        <v>31</v>
      </c>
      <c r="Y95" s="31" t="s">
        <v>12</v>
      </c>
      <c r="Z95" s="13">
        <f>$G$95*AA95-0.1</f>
        <v>0.34799176468639725</v>
      </c>
      <c r="AA95" s="20">
        <f t="shared" si="28"/>
        <v>27916.606816432846</v>
      </c>
      <c r="AB95" s="42"/>
      <c r="AC95" s="512"/>
      <c r="AD95" s="464"/>
      <c r="AE95" s="209" t="s">
        <v>31</v>
      </c>
      <c r="AF95" s="31" t="s">
        <v>12</v>
      </c>
      <c r="AG95" s="13">
        <f>$G$95*AH95+0.1</f>
        <v>0.10205973357432295</v>
      </c>
      <c r="AH95" s="12">
        <f t="shared" si="29"/>
        <v>128.35229768393464</v>
      </c>
      <c r="AI95" s="71" t="s">
        <v>150</v>
      </c>
      <c r="AJ95" s="472"/>
      <c r="AK95" s="465"/>
      <c r="AL95" s="34" t="s">
        <v>31</v>
      </c>
      <c r="AM95" s="31" t="s">
        <v>12</v>
      </c>
      <c r="AN95" s="13">
        <f>$G$95*AO95</f>
        <v>7.6210092769164781E-2</v>
      </c>
      <c r="AO95" s="12">
        <f t="shared" si="30"/>
        <v>4749.0319309105034</v>
      </c>
      <c r="AP95" s="31"/>
      <c r="AQ95" s="4">
        <f t="shared" si="24"/>
        <v>-9.4103832226632989E-9</v>
      </c>
    </row>
    <row r="96" spans="1:43" ht="25.5" x14ac:dyDescent="0.2">
      <c r="A96" s="488"/>
      <c r="B96" s="465"/>
      <c r="C96" s="34" t="s">
        <v>30</v>
      </c>
      <c r="D96" s="31" t="s">
        <v>12</v>
      </c>
      <c r="E96" s="32">
        <v>1</v>
      </c>
      <c r="F96" s="32">
        <v>68806.719999999987</v>
      </c>
      <c r="G96" s="35">
        <f t="shared" si="25"/>
        <v>1.45334641732668E-5</v>
      </c>
      <c r="H96" s="488"/>
      <c r="I96" s="465"/>
      <c r="J96" s="34" t="s">
        <v>30</v>
      </c>
      <c r="K96" s="31" t="s">
        <v>12</v>
      </c>
      <c r="L96" s="13">
        <f>$G$96*M96-0.1</f>
        <v>0.37167868480617539</v>
      </c>
      <c r="M96" s="12">
        <f t="shared" si="26"/>
        <v>32454.663195426758</v>
      </c>
      <c r="N96" s="31"/>
      <c r="O96" s="488"/>
      <c r="P96" s="465"/>
      <c r="Q96" s="34" t="s">
        <v>30</v>
      </c>
      <c r="R96" s="31" t="s">
        <v>12</v>
      </c>
      <c r="S96" s="13">
        <f>$G$96*T96+0.1</f>
        <v>0.10205973357432295</v>
      </c>
      <c r="T96" s="12">
        <f t="shared" si="27"/>
        <v>141.72351132303839</v>
      </c>
      <c r="U96" s="31"/>
      <c r="V96" s="488"/>
      <c r="W96" s="465"/>
      <c r="X96" s="34" t="s">
        <v>30</v>
      </c>
      <c r="Y96" s="31" t="s">
        <v>12</v>
      </c>
      <c r="Z96" s="13">
        <f>$G$96*AA96-0.1</f>
        <v>0.34799176468639725</v>
      </c>
      <c r="AA96" s="20">
        <f t="shared" si="28"/>
        <v>30824.84391508282</v>
      </c>
      <c r="AB96" s="42"/>
      <c r="AC96" s="512"/>
      <c r="AD96" s="464"/>
      <c r="AE96" s="209" t="s">
        <v>30</v>
      </c>
      <c r="AF96" s="31" t="s">
        <v>12</v>
      </c>
      <c r="AG96" s="13">
        <f>$G$96*AH96+0.1</f>
        <v>0.10205973357432295</v>
      </c>
      <c r="AH96" s="12">
        <f t="shared" si="29"/>
        <v>141.72351132303839</v>
      </c>
      <c r="AI96" s="71" t="s">
        <v>150</v>
      </c>
      <c r="AJ96" s="472"/>
      <c r="AK96" s="465"/>
      <c r="AL96" s="34" t="s">
        <v>30</v>
      </c>
      <c r="AM96" s="31" t="s">
        <v>12</v>
      </c>
      <c r="AN96" s="13">
        <f>$G$96*AO96</f>
        <v>7.6210092769164781E-2</v>
      </c>
      <c r="AO96" s="12">
        <f t="shared" si="30"/>
        <v>5243.7665143419445</v>
      </c>
      <c r="AP96" s="31"/>
      <c r="AQ96" s="4">
        <f t="shared" si="24"/>
        <v>-9.4103833336856013E-9</v>
      </c>
    </row>
    <row r="97" spans="1:43" ht="25.5" x14ac:dyDescent="0.2">
      <c r="A97" s="488"/>
      <c r="B97" s="465"/>
      <c r="C97" s="34" t="s">
        <v>29</v>
      </c>
      <c r="D97" s="31" t="s">
        <v>12</v>
      </c>
      <c r="E97" s="32">
        <v>1</v>
      </c>
      <c r="F97" s="32">
        <v>17716.397999999997</v>
      </c>
      <c r="G97" s="35">
        <f t="shared" si="25"/>
        <v>5.644488230621146E-5</v>
      </c>
      <c r="H97" s="488"/>
      <c r="I97" s="465"/>
      <c r="J97" s="34" t="s">
        <v>29</v>
      </c>
      <c r="K97" s="31" t="s">
        <v>12</v>
      </c>
      <c r="L97" s="13">
        <f>$G$97*M97-0.1</f>
        <v>0.37167868480617539</v>
      </c>
      <c r="M97" s="12">
        <f t="shared" si="26"/>
        <v>8356.447308142755</v>
      </c>
      <c r="N97" s="31"/>
      <c r="O97" s="488"/>
      <c r="P97" s="465"/>
      <c r="Q97" s="34" t="s">
        <v>29</v>
      </c>
      <c r="R97" s="31" t="s">
        <v>12</v>
      </c>
      <c r="S97" s="13">
        <f>$G$97*T97+0.1</f>
        <v>0.10205973357432295</v>
      </c>
      <c r="T97" s="12">
        <f t="shared" si="27"/>
        <v>36.49105977666796</v>
      </c>
      <c r="U97" s="31"/>
      <c r="V97" s="488"/>
      <c r="W97" s="465"/>
      <c r="X97" s="34" t="s">
        <v>29</v>
      </c>
      <c r="Y97" s="31" t="s">
        <v>12</v>
      </c>
      <c r="Z97" s="13">
        <f>$G$97*AA97-0.1</f>
        <v>0.34799176468639725</v>
      </c>
      <c r="AA97" s="20">
        <f t="shared" si="28"/>
        <v>7936.8004039065581</v>
      </c>
      <c r="AB97" s="42"/>
      <c r="AC97" s="512"/>
      <c r="AD97" s="464"/>
      <c r="AE97" s="209" t="s">
        <v>29</v>
      </c>
      <c r="AF97" s="31" t="s">
        <v>12</v>
      </c>
      <c r="AG97" s="13">
        <f>$G$97*AH97+0.1</f>
        <v>0.10205973357432295</v>
      </c>
      <c r="AH97" s="12">
        <f t="shared" si="29"/>
        <v>36.49105977666796</v>
      </c>
      <c r="AI97" s="71" t="s">
        <v>150</v>
      </c>
      <c r="AJ97" s="472"/>
      <c r="AK97" s="465"/>
      <c r="AL97" s="34" t="s">
        <v>29</v>
      </c>
      <c r="AM97" s="31" t="s">
        <v>12</v>
      </c>
      <c r="AN97" s="13">
        <f>$G$97*AO97</f>
        <v>7.6210092769164781E-2</v>
      </c>
      <c r="AO97" s="12">
        <f t="shared" si="30"/>
        <v>1350.1683351154452</v>
      </c>
      <c r="AP97" s="31"/>
      <c r="AQ97" s="4">
        <f t="shared" si="24"/>
        <v>-9.4103833336856013E-9</v>
      </c>
    </row>
    <row r="98" spans="1:43" x14ac:dyDescent="0.2">
      <c r="A98" s="488"/>
      <c r="B98" s="465"/>
      <c r="C98" s="34" t="s">
        <v>28</v>
      </c>
      <c r="D98" s="31" t="s">
        <v>12</v>
      </c>
      <c r="E98" s="32">
        <v>1</v>
      </c>
      <c r="F98" s="32">
        <v>40856.213474999997</v>
      </c>
      <c r="G98" s="35">
        <f t="shared" si="25"/>
        <v>2.447608123576851E-5</v>
      </c>
      <c r="H98" s="488"/>
      <c r="I98" s="465"/>
      <c r="J98" s="34" t="s">
        <v>28</v>
      </c>
      <c r="K98" s="31" t="s">
        <v>12</v>
      </c>
      <c r="L98" s="13">
        <f>$G$98*M98-0.1</f>
        <v>0.37167868480617527</v>
      </c>
      <c r="M98" s="12">
        <f t="shared" si="26"/>
        <v>19271.005038048337</v>
      </c>
      <c r="N98" s="31"/>
      <c r="O98" s="488"/>
      <c r="P98" s="465"/>
      <c r="Q98" s="34" t="s">
        <v>28</v>
      </c>
      <c r="R98" s="31" t="s">
        <v>12</v>
      </c>
      <c r="S98" s="13">
        <f>$G$98*T98+0.1</f>
        <v>0.10205973357432295</v>
      </c>
      <c r="T98" s="12">
        <f t="shared" si="27"/>
        <v>84.152914614163222</v>
      </c>
      <c r="U98" s="31"/>
      <c r="V98" s="488"/>
      <c r="W98" s="465"/>
      <c r="X98" s="34" t="s">
        <v>28</v>
      </c>
      <c r="Y98" s="31" t="s">
        <v>12</v>
      </c>
      <c r="Z98" s="13">
        <f>$G$98*AA98-0.1</f>
        <v>0.34799176468639725</v>
      </c>
      <c r="AA98" s="20">
        <f t="shared" si="28"/>
        <v>18303.247173069412</v>
      </c>
      <c r="AB98" s="42"/>
      <c r="AC98" s="512"/>
      <c r="AD98" s="464"/>
      <c r="AE98" s="209" t="s">
        <v>28</v>
      </c>
      <c r="AF98" s="31" t="s">
        <v>12</v>
      </c>
      <c r="AG98" s="13">
        <f>$G$98*AH98+0.1</f>
        <v>0.10205973357432295</v>
      </c>
      <c r="AH98" s="12">
        <f t="shared" si="29"/>
        <v>84.152914614163222</v>
      </c>
      <c r="AI98" s="71" t="s">
        <v>150</v>
      </c>
      <c r="AJ98" s="472"/>
      <c r="AK98" s="465"/>
      <c r="AL98" s="34" t="s">
        <v>28</v>
      </c>
      <c r="AM98" s="31" t="s">
        <v>12</v>
      </c>
      <c r="AN98" s="13">
        <f>$G$98*AO98</f>
        <v>7.6210092769164781E-2</v>
      </c>
      <c r="AO98" s="12">
        <f t="shared" si="30"/>
        <v>3113.6558191265499</v>
      </c>
      <c r="AP98" s="31"/>
      <c r="AQ98" s="4">
        <f t="shared" si="24"/>
        <v>-9.4103832226632989E-9</v>
      </c>
    </row>
    <row r="99" spans="1:43" ht="25.5" x14ac:dyDescent="0.2">
      <c r="A99" s="488"/>
      <c r="B99" s="465"/>
      <c r="C99" s="34" t="s">
        <v>27</v>
      </c>
      <c r="D99" s="31" t="s">
        <v>12</v>
      </c>
      <c r="E99" s="32">
        <v>1</v>
      </c>
      <c r="F99" s="32">
        <v>50000</v>
      </c>
      <c r="G99" s="31">
        <f t="shared" si="25"/>
        <v>2.0000000000000002E-5</v>
      </c>
      <c r="H99" s="488"/>
      <c r="I99" s="465"/>
      <c r="J99" s="34" t="s">
        <v>27</v>
      </c>
      <c r="K99" s="31" t="s">
        <v>12</v>
      </c>
      <c r="L99" s="13">
        <f>$G$99*M99-0.1</f>
        <v>0.37167868480617539</v>
      </c>
      <c r="M99" s="12">
        <f t="shared" si="26"/>
        <v>23583.934240308768</v>
      </c>
      <c r="N99" s="31"/>
      <c r="O99" s="488"/>
      <c r="P99" s="465"/>
      <c r="Q99" s="34" t="s">
        <v>27</v>
      </c>
      <c r="R99" s="31" t="s">
        <v>12</v>
      </c>
      <c r="S99" s="13">
        <f>$G$99*T99+0.1</f>
        <v>0.10205973357432295</v>
      </c>
      <c r="T99" s="12">
        <f t="shared" si="27"/>
        <v>102.98667871614751</v>
      </c>
      <c r="U99" s="31"/>
      <c r="V99" s="488"/>
      <c r="W99" s="465"/>
      <c r="X99" s="34" t="s">
        <v>27</v>
      </c>
      <c r="Y99" s="31" t="s">
        <v>12</v>
      </c>
      <c r="Z99" s="13">
        <f>$G$99*AA99-0.1</f>
        <v>0.34799176468639736</v>
      </c>
      <c r="AA99" s="20">
        <f t="shared" si="28"/>
        <v>22399.588234319865</v>
      </c>
      <c r="AB99" s="42"/>
      <c r="AC99" s="512"/>
      <c r="AD99" s="464"/>
      <c r="AE99" s="209" t="s">
        <v>27</v>
      </c>
      <c r="AF99" s="31" t="s">
        <v>12</v>
      </c>
      <c r="AG99" s="13">
        <f>$G$99*AH99+0.1</f>
        <v>0.10205973357432295</v>
      </c>
      <c r="AH99" s="12">
        <f t="shared" si="29"/>
        <v>102.98667871614751</v>
      </c>
      <c r="AI99" s="71" t="s">
        <v>150</v>
      </c>
      <c r="AJ99" s="472"/>
      <c r="AK99" s="465"/>
      <c r="AL99" s="34" t="s">
        <v>27</v>
      </c>
      <c r="AM99" s="31" t="s">
        <v>12</v>
      </c>
      <c r="AN99" s="13">
        <f>$G$99*AO99</f>
        <v>7.6210092769164794E-2</v>
      </c>
      <c r="AO99" s="12">
        <f t="shared" si="30"/>
        <v>3810.5046384582392</v>
      </c>
      <c r="AP99" s="31"/>
      <c r="AQ99" s="4">
        <f t="shared" si="24"/>
        <v>-9.4103834585856916E-9</v>
      </c>
    </row>
    <row r="100" spans="1:43" ht="38.25" x14ac:dyDescent="0.2">
      <c r="A100" s="488"/>
      <c r="B100" s="465"/>
      <c r="C100" s="34" t="s">
        <v>26</v>
      </c>
      <c r="D100" s="31" t="s">
        <v>3</v>
      </c>
      <c r="E100" s="32">
        <v>125</v>
      </c>
      <c r="F100" s="32">
        <v>400000</v>
      </c>
      <c r="G100" s="31">
        <f t="shared" si="25"/>
        <v>3.1250000000000001E-4</v>
      </c>
      <c r="H100" s="488"/>
      <c r="I100" s="465"/>
      <c r="J100" s="34" t="s">
        <v>26</v>
      </c>
      <c r="K100" s="31" t="s">
        <v>3</v>
      </c>
      <c r="L100" s="13">
        <f>$G$100*M100</f>
        <v>58.959835600771925</v>
      </c>
      <c r="M100" s="12">
        <f t="shared" si="26"/>
        <v>188671.47392247015</v>
      </c>
      <c r="N100" s="31"/>
      <c r="O100" s="488"/>
      <c r="P100" s="465"/>
      <c r="Q100" s="34" t="s">
        <v>26</v>
      </c>
      <c r="R100" s="31" t="s">
        <v>3</v>
      </c>
      <c r="S100" s="13">
        <f>$G$100*T100</f>
        <v>0.25746669679036877</v>
      </c>
      <c r="T100" s="12">
        <f t="shared" si="27"/>
        <v>823.89342972918007</v>
      </c>
      <c r="U100" s="31"/>
      <c r="V100" s="488"/>
      <c r="W100" s="465"/>
      <c r="X100" s="34" t="s">
        <v>26</v>
      </c>
      <c r="Y100" s="31" t="s">
        <v>3</v>
      </c>
      <c r="Z100" s="13">
        <f>$G$100*AA100</f>
        <v>55.998970585799661</v>
      </c>
      <c r="AA100" s="20">
        <f t="shared" si="28"/>
        <v>179196.70587455892</v>
      </c>
      <c r="AB100" s="42"/>
      <c r="AC100" s="512"/>
      <c r="AD100" s="464"/>
      <c r="AE100" s="209" t="s">
        <v>26</v>
      </c>
      <c r="AF100" s="31" t="s">
        <v>3</v>
      </c>
      <c r="AG100" s="13">
        <f>$G$100*AH100</f>
        <v>0.25746669679036877</v>
      </c>
      <c r="AH100" s="12">
        <f t="shared" si="29"/>
        <v>823.89342972918007</v>
      </c>
      <c r="AI100" s="71" t="s">
        <v>150</v>
      </c>
      <c r="AJ100" s="472"/>
      <c r="AK100" s="465"/>
      <c r="AL100" s="34" t="s">
        <v>26</v>
      </c>
      <c r="AM100" s="31" t="s">
        <v>3</v>
      </c>
      <c r="AN100" s="13">
        <f>$G$100*AO100</f>
        <v>9.5262615961455985</v>
      </c>
      <c r="AO100" s="12">
        <f t="shared" si="30"/>
        <v>30484.037107665914</v>
      </c>
      <c r="AP100" s="31"/>
      <c r="AQ100" s="4">
        <f t="shared" si="24"/>
        <v>-1.1762979266194407E-6</v>
      </c>
    </row>
    <row r="101" spans="1:43" ht="63.75" x14ac:dyDescent="0.2">
      <c r="A101" s="488"/>
      <c r="B101" s="465"/>
      <c r="C101" s="34" t="s">
        <v>25</v>
      </c>
      <c r="D101" s="31" t="s">
        <v>3</v>
      </c>
      <c r="E101" s="32">
        <v>90</v>
      </c>
      <c r="F101" s="32">
        <v>135000</v>
      </c>
      <c r="G101" s="31">
        <f t="shared" si="25"/>
        <v>6.6666666666666664E-4</v>
      </c>
      <c r="H101" s="488"/>
      <c r="I101" s="465"/>
      <c r="J101" s="34" t="s">
        <v>25</v>
      </c>
      <c r="K101" s="31" t="s">
        <v>3</v>
      </c>
      <c r="L101" s="13">
        <f>$G$101*M101</f>
        <v>42.451081632555784</v>
      </c>
      <c r="M101" s="12">
        <f t="shared" si="26"/>
        <v>63676.622448833674</v>
      </c>
      <c r="N101" s="31"/>
      <c r="O101" s="488"/>
      <c r="P101" s="465"/>
      <c r="Q101" s="34" t="s">
        <v>25</v>
      </c>
      <c r="R101" s="31" t="s">
        <v>3</v>
      </c>
      <c r="S101" s="13">
        <f>$G$101*T101</f>
        <v>0.1853760216890655</v>
      </c>
      <c r="T101" s="12">
        <f t="shared" si="27"/>
        <v>278.06403253359827</v>
      </c>
      <c r="U101" s="31"/>
      <c r="V101" s="488"/>
      <c r="W101" s="465"/>
      <c r="X101" s="34" t="s">
        <v>25</v>
      </c>
      <c r="Y101" s="31" t="s">
        <v>3</v>
      </c>
      <c r="Z101" s="13">
        <f>$G$101*AA101</f>
        <v>40.319258821775755</v>
      </c>
      <c r="AA101" s="20">
        <f t="shared" si="28"/>
        <v>60478.88823266363</v>
      </c>
      <c r="AB101" s="42"/>
      <c r="AC101" s="512"/>
      <c r="AD101" s="464"/>
      <c r="AE101" s="209" t="s">
        <v>25</v>
      </c>
      <c r="AF101" s="31" t="s">
        <v>3</v>
      </c>
      <c r="AG101" s="13">
        <f>$G$101*AH101</f>
        <v>0.1853760216890655</v>
      </c>
      <c r="AH101" s="12">
        <f t="shared" si="29"/>
        <v>278.06403253359827</v>
      </c>
      <c r="AI101" s="71" t="s">
        <v>150</v>
      </c>
      <c r="AJ101" s="472"/>
      <c r="AK101" s="465"/>
      <c r="AL101" s="34" t="s">
        <v>25</v>
      </c>
      <c r="AM101" s="31" t="s">
        <v>3</v>
      </c>
      <c r="AN101" s="13">
        <f>$G$101*AO101</f>
        <v>6.8589083492248308</v>
      </c>
      <c r="AO101" s="12">
        <f t="shared" si="30"/>
        <v>10288.362523837246</v>
      </c>
      <c r="AP101" s="31"/>
      <c r="AQ101" s="4">
        <f t="shared" si="24"/>
        <v>-8.4693450119743829E-7</v>
      </c>
    </row>
    <row r="102" spans="1:43" ht="51" x14ac:dyDescent="0.2">
      <c r="A102" s="488"/>
      <c r="B102" s="465"/>
      <c r="C102" s="34" t="s">
        <v>24</v>
      </c>
      <c r="D102" s="31" t="s">
        <v>3</v>
      </c>
      <c r="E102" s="32">
        <v>55</v>
      </c>
      <c r="F102" s="32">
        <v>30000</v>
      </c>
      <c r="G102" s="31">
        <f t="shared" si="25"/>
        <v>1.8333333333333333E-3</v>
      </c>
      <c r="H102" s="488"/>
      <c r="I102" s="465"/>
      <c r="J102" s="34" t="s">
        <v>24</v>
      </c>
      <c r="K102" s="31" t="s">
        <v>3</v>
      </c>
      <c r="L102" s="13">
        <f>$G$102*M102</f>
        <v>25.942327664339647</v>
      </c>
      <c r="M102" s="12">
        <f t="shared" si="26"/>
        <v>14150.360544185261</v>
      </c>
      <c r="N102" s="31"/>
      <c r="O102" s="488"/>
      <c r="P102" s="465"/>
      <c r="Q102" s="34" t="s">
        <v>24</v>
      </c>
      <c r="R102" s="31" t="s">
        <v>3</v>
      </c>
      <c r="S102" s="13">
        <f>$G$102*T102</f>
        <v>0.11328534658776225</v>
      </c>
      <c r="T102" s="12">
        <f t="shared" si="27"/>
        <v>61.792007229688501</v>
      </c>
      <c r="U102" s="31"/>
      <c r="V102" s="488"/>
      <c r="W102" s="465"/>
      <c r="X102" s="34" t="s">
        <v>24</v>
      </c>
      <c r="Y102" s="31" t="s">
        <v>3</v>
      </c>
      <c r="Z102" s="13">
        <f>$G$102*AA102</f>
        <v>24.639547057751852</v>
      </c>
      <c r="AA102" s="20">
        <f t="shared" si="28"/>
        <v>13439.752940591919</v>
      </c>
      <c r="AB102" s="42"/>
      <c r="AC102" s="512"/>
      <c r="AD102" s="464"/>
      <c r="AE102" s="209" t="s">
        <v>24</v>
      </c>
      <c r="AF102" s="31" t="s">
        <v>3</v>
      </c>
      <c r="AG102" s="13">
        <f>$G$102*AH102</f>
        <v>0.11328534658776225</v>
      </c>
      <c r="AH102" s="12">
        <f t="shared" si="29"/>
        <v>61.792007229688501</v>
      </c>
      <c r="AI102" s="71" t="s">
        <v>150</v>
      </c>
      <c r="AJ102" s="472"/>
      <c r="AK102" s="465"/>
      <c r="AL102" s="34" t="s">
        <v>24</v>
      </c>
      <c r="AM102" s="31" t="s">
        <v>3</v>
      </c>
      <c r="AN102" s="13">
        <f>$G$102*AO102</f>
        <v>4.1915551023040631</v>
      </c>
      <c r="AO102" s="12">
        <f t="shared" si="30"/>
        <v>2286.3027830749434</v>
      </c>
      <c r="AP102" s="31"/>
      <c r="AQ102" s="4">
        <f t="shared" si="24"/>
        <v>-5.1757108643357697E-7</v>
      </c>
    </row>
    <row r="103" spans="1:43" ht="38.25" x14ac:dyDescent="0.2">
      <c r="A103" s="488"/>
      <c r="B103" s="465"/>
      <c r="C103" s="34" t="s">
        <v>23</v>
      </c>
      <c r="D103" s="31" t="s">
        <v>3</v>
      </c>
      <c r="E103" s="32">
        <v>18</v>
      </c>
      <c r="F103" s="32">
        <v>40000</v>
      </c>
      <c r="G103" s="31">
        <f t="shared" si="25"/>
        <v>4.4999999999999999E-4</v>
      </c>
      <c r="H103" s="488"/>
      <c r="I103" s="465"/>
      <c r="J103" s="34" t="s">
        <v>23</v>
      </c>
      <c r="K103" s="31" t="s">
        <v>3</v>
      </c>
      <c r="L103" s="13">
        <f>$G$103*M103-0.1</f>
        <v>8.3902163265111565</v>
      </c>
      <c r="M103" s="12">
        <f t="shared" si="26"/>
        <v>18867.147392247014</v>
      </c>
      <c r="N103" s="31"/>
      <c r="O103" s="488"/>
      <c r="P103" s="465"/>
      <c r="Q103" s="34" t="s">
        <v>23</v>
      </c>
      <c r="R103" s="31" t="s">
        <v>3</v>
      </c>
      <c r="S103" s="13">
        <f>$G$103*T103+0.1</f>
        <v>0.13707520433781312</v>
      </c>
      <c r="T103" s="12">
        <f t="shared" si="27"/>
        <v>82.389342972918001</v>
      </c>
      <c r="U103" s="31"/>
      <c r="V103" s="488"/>
      <c r="W103" s="465"/>
      <c r="X103" s="34" t="s">
        <v>23</v>
      </c>
      <c r="Y103" s="31" t="s">
        <v>3</v>
      </c>
      <c r="Z103" s="13">
        <f>$G$103*AA103-0.1</f>
        <v>7.9638517643551499</v>
      </c>
      <c r="AA103" s="20">
        <f t="shared" si="28"/>
        <v>17919.67058745589</v>
      </c>
      <c r="AB103" s="42"/>
      <c r="AC103" s="512"/>
      <c r="AD103" s="464"/>
      <c r="AE103" s="209" t="s">
        <v>23</v>
      </c>
      <c r="AF103" s="31" t="s">
        <v>3</v>
      </c>
      <c r="AG103" s="13">
        <f>$G$103*AH103+0.1</f>
        <v>0.13707520433781312</v>
      </c>
      <c r="AH103" s="12">
        <f t="shared" si="29"/>
        <v>82.389342972918001</v>
      </c>
      <c r="AI103" s="71" t="s">
        <v>150</v>
      </c>
      <c r="AJ103" s="472"/>
      <c r="AK103" s="465"/>
      <c r="AL103" s="34" t="s">
        <v>23</v>
      </c>
      <c r="AM103" s="31" t="s">
        <v>3</v>
      </c>
      <c r="AN103" s="13">
        <f>$G$103*AO103</f>
        <v>1.3717816698449661</v>
      </c>
      <c r="AO103" s="12">
        <f t="shared" si="30"/>
        <v>3048.4037107665913</v>
      </c>
      <c r="AP103" s="31"/>
      <c r="AQ103" s="4">
        <f t="shared" si="24"/>
        <v>-1.6938689917367356E-7</v>
      </c>
    </row>
    <row r="104" spans="1:43" ht="114.75" x14ac:dyDescent="0.2">
      <c r="A104" s="488"/>
      <c r="B104" s="465"/>
      <c r="C104" s="34" t="s">
        <v>22</v>
      </c>
      <c r="D104" s="31" t="s">
        <v>12</v>
      </c>
      <c r="E104" s="32">
        <v>1</v>
      </c>
      <c r="F104" s="32">
        <v>68296.320000000007</v>
      </c>
      <c r="G104" s="35">
        <f t="shared" si="25"/>
        <v>1.4642077347652112E-5</v>
      </c>
      <c r="H104" s="488"/>
      <c r="I104" s="465"/>
      <c r="J104" s="34" t="s">
        <v>22</v>
      </c>
      <c r="K104" s="31" t="s">
        <v>12</v>
      </c>
      <c r="L104" s="13">
        <f>$G$104*M104-0.1</f>
        <v>0.37167868480617539</v>
      </c>
      <c r="M104" s="12">
        <f t="shared" si="26"/>
        <v>32213.918394701694</v>
      </c>
      <c r="N104" s="31"/>
      <c r="O104" s="488"/>
      <c r="P104" s="465"/>
      <c r="Q104" s="34" t="s">
        <v>22</v>
      </c>
      <c r="R104" s="31" t="s">
        <v>12</v>
      </c>
      <c r="S104" s="13">
        <f>$G$104*T104+0.1</f>
        <v>0.10205973357432295</v>
      </c>
      <c r="T104" s="12">
        <f t="shared" si="27"/>
        <v>140.67222330670398</v>
      </c>
      <c r="U104" s="31"/>
      <c r="V104" s="488"/>
      <c r="W104" s="465"/>
      <c r="X104" s="34" t="s">
        <v>22</v>
      </c>
      <c r="Y104" s="31" t="s">
        <v>12</v>
      </c>
      <c r="Z104" s="13">
        <f>$G$104*AA104-0.1</f>
        <v>0.34799176468639725</v>
      </c>
      <c r="AA104" s="20">
        <f t="shared" si="28"/>
        <v>30596.188918386892</v>
      </c>
      <c r="AB104" s="42"/>
      <c r="AC104" s="512"/>
      <c r="AD104" s="464"/>
      <c r="AE104" s="209" t="s">
        <v>22</v>
      </c>
      <c r="AF104" s="31" t="s">
        <v>12</v>
      </c>
      <c r="AG104" s="13">
        <f>$G$104*AH104+0.1</f>
        <v>0.10205973357432295</v>
      </c>
      <c r="AH104" s="12">
        <f t="shared" si="29"/>
        <v>140.67222330670398</v>
      </c>
      <c r="AI104" s="71" t="s">
        <v>150</v>
      </c>
      <c r="AJ104" s="472"/>
      <c r="AK104" s="465"/>
      <c r="AL104" s="34" t="s">
        <v>22</v>
      </c>
      <c r="AM104" s="31" t="s">
        <v>12</v>
      </c>
      <c r="AN104" s="13">
        <f>$G$104*AO104</f>
        <v>7.6210092769164781E-2</v>
      </c>
      <c r="AO104" s="12">
        <f t="shared" si="30"/>
        <v>5204.8688829925641</v>
      </c>
      <c r="AP104" s="31"/>
      <c r="AQ104" s="4">
        <f t="shared" si="24"/>
        <v>-9.4103833336856013E-9</v>
      </c>
    </row>
    <row r="105" spans="1:43" ht="25.5" x14ac:dyDescent="0.2">
      <c r="A105" s="488"/>
      <c r="B105" s="465"/>
      <c r="C105" s="34" t="s">
        <v>21</v>
      </c>
      <c r="D105" s="31" t="s">
        <v>20</v>
      </c>
      <c r="E105" s="32">
        <v>3.54</v>
      </c>
      <c r="F105" s="32">
        <f>25350-494</f>
        <v>24856</v>
      </c>
      <c r="G105" s="31">
        <f t="shared" si="25"/>
        <v>1.4242034116511104E-4</v>
      </c>
      <c r="H105" s="488"/>
      <c r="I105" s="465"/>
      <c r="J105" s="34" t="s">
        <v>21</v>
      </c>
      <c r="K105" s="31" t="s">
        <v>20</v>
      </c>
      <c r="L105" s="13">
        <f>$G$105*M105-0.1</f>
        <v>1.5697425442138606</v>
      </c>
      <c r="M105" s="12">
        <f t="shared" si="26"/>
        <v>11724.045389542294</v>
      </c>
      <c r="N105" s="31"/>
      <c r="O105" s="488"/>
      <c r="P105" s="465"/>
      <c r="Q105" s="34" t="s">
        <v>21</v>
      </c>
      <c r="R105" s="31" t="s">
        <v>20</v>
      </c>
      <c r="S105" s="13">
        <f>$G$105*T105+0.1</f>
        <v>0.10729145685310325</v>
      </c>
      <c r="T105" s="12">
        <f t="shared" si="27"/>
        <v>51.19673772337125</v>
      </c>
      <c r="U105" s="31"/>
      <c r="V105" s="488"/>
      <c r="W105" s="465"/>
      <c r="X105" s="34" t="s">
        <v>21</v>
      </c>
      <c r="Y105" s="31" t="s">
        <v>20</v>
      </c>
      <c r="Z105" s="13">
        <f>$G$105*AA105-0.1</f>
        <v>1.4858908469898462</v>
      </c>
      <c r="AA105" s="20">
        <f t="shared" si="28"/>
        <v>11135.283303045091</v>
      </c>
      <c r="AB105" s="42"/>
      <c r="AC105" s="512"/>
      <c r="AD105" s="464"/>
      <c r="AE105" s="209" t="s">
        <v>21</v>
      </c>
      <c r="AF105" s="31" t="s">
        <v>20</v>
      </c>
      <c r="AG105" s="13">
        <f>$G$105*AH105+0.1</f>
        <v>0.10729145685310325</v>
      </c>
      <c r="AH105" s="12">
        <f t="shared" si="29"/>
        <v>51.19673772337125</v>
      </c>
      <c r="AI105" s="71" t="s">
        <v>150</v>
      </c>
      <c r="AJ105" s="472"/>
      <c r="AK105" s="465"/>
      <c r="AL105" s="34" t="s">
        <v>21</v>
      </c>
      <c r="AM105" s="31" t="s">
        <v>20</v>
      </c>
      <c r="AN105" s="13">
        <f>$G$105*AO105</f>
        <v>0.26978372840284331</v>
      </c>
      <c r="AO105" s="12">
        <f t="shared" si="30"/>
        <v>1894.2780658703598</v>
      </c>
      <c r="AP105" s="31"/>
      <c r="AQ105" s="4">
        <f t="shared" si="24"/>
        <v>-3.3312756497760887E-8</v>
      </c>
    </row>
    <row r="106" spans="1:43" ht="25.5" x14ac:dyDescent="0.2">
      <c r="A106" s="488"/>
      <c r="B106" s="465"/>
      <c r="C106" s="34" t="s">
        <v>19</v>
      </c>
      <c r="D106" s="31" t="s">
        <v>3</v>
      </c>
      <c r="E106" s="32">
        <v>30</v>
      </c>
      <c r="F106" s="32">
        <v>30000</v>
      </c>
      <c r="G106" s="31">
        <f t="shared" si="25"/>
        <v>1E-3</v>
      </c>
      <c r="H106" s="488"/>
      <c r="I106" s="465"/>
      <c r="J106" s="34" t="s">
        <v>19</v>
      </c>
      <c r="K106" s="31" t="s">
        <v>3</v>
      </c>
      <c r="L106" s="13">
        <f>$G$106*M106</f>
        <v>14.150360544185261</v>
      </c>
      <c r="M106" s="12">
        <f t="shared" si="26"/>
        <v>14150.360544185261</v>
      </c>
      <c r="N106" s="31"/>
      <c r="O106" s="488"/>
      <c r="P106" s="465"/>
      <c r="Q106" s="34" t="s">
        <v>19</v>
      </c>
      <c r="R106" s="31" t="s">
        <v>3</v>
      </c>
      <c r="S106" s="13">
        <f>$G$106*T106</f>
        <v>6.17920072296885E-2</v>
      </c>
      <c r="T106" s="12">
        <f t="shared" si="27"/>
        <v>61.792007229688501</v>
      </c>
      <c r="U106" s="31"/>
      <c r="V106" s="488"/>
      <c r="W106" s="465"/>
      <c r="X106" s="34" t="s">
        <v>19</v>
      </c>
      <c r="Y106" s="31" t="s">
        <v>3</v>
      </c>
      <c r="Z106" s="13">
        <f>$G$106*AA106</f>
        <v>13.439752940591919</v>
      </c>
      <c r="AA106" s="20">
        <f t="shared" si="28"/>
        <v>13439.752940591919</v>
      </c>
      <c r="AB106" s="42"/>
      <c r="AC106" s="512"/>
      <c r="AD106" s="464"/>
      <c r="AE106" s="209" t="s">
        <v>19</v>
      </c>
      <c r="AF106" s="31" t="s">
        <v>3</v>
      </c>
      <c r="AG106" s="13">
        <f>$G$106*AH106</f>
        <v>6.17920072296885E-2</v>
      </c>
      <c r="AH106" s="12">
        <f t="shared" si="29"/>
        <v>61.792007229688501</v>
      </c>
      <c r="AI106" s="71" t="s">
        <v>150</v>
      </c>
      <c r="AJ106" s="472"/>
      <c r="AK106" s="465"/>
      <c r="AL106" s="34" t="s">
        <v>19</v>
      </c>
      <c r="AM106" s="31" t="s">
        <v>3</v>
      </c>
      <c r="AN106" s="13">
        <f>$G$106*AO106</f>
        <v>2.2863027830749436</v>
      </c>
      <c r="AO106" s="12">
        <f t="shared" si="30"/>
        <v>2286.3027830749434</v>
      </c>
      <c r="AP106" s="31"/>
      <c r="AQ106" s="4">
        <f t="shared" ref="AQ106:AQ121" si="31">E106-L106-S106-Z106-AG106-AN106</f>
        <v>-2.8231150217550294E-7</v>
      </c>
    </row>
    <row r="107" spans="1:43" ht="25.5" x14ac:dyDescent="0.2">
      <c r="A107" s="488"/>
      <c r="B107" s="465"/>
      <c r="C107" s="34" t="s">
        <v>18</v>
      </c>
      <c r="D107" s="31" t="s">
        <v>3</v>
      </c>
      <c r="E107" s="32">
        <v>10</v>
      </c>
      <c r="F107" s="32">
        <v>10000</v>
      </c>
      <c r="G107" s="31">
        <f t="shared" si="25"/>
        <v>1E-3</v>
      </c>
      <c r="H107" s="488"/>
      <c r="I107" s="465"/>
      <c r="J107" s="34" t="s">
        <v>18</v>
      </c>
      <c r="K107" s="31" t="s">
        <v>3</v>
      </c>
      <c r="L107" s="13">
        <f>$G$107*M107-0.1</f>
        <v>4.6167868480617535</v>
      </c>
      <c r="M107" s="12">
        <f t="shared" si="26"/>
        <v>4716.7868480617535</v>
      </c>
      <c r="N107" s="31"/>
      <c r="O107" s="488"/>
      <c r="P107" s="465"/>
      <c r="Q107" s="34" t="s">
        <v>18</v>
      </c>
      <c r="R107" s="31" t="s">
        <v>3</v>
      </c>
      <c r="S107" s="13">
        <f>$G$107*T107+0.1</f>
        <v>0.12059733574322951</v>
      </c>
      <c r="T107" s="12">
        <f t="shared" si="27"/>
        <v>20.5973357432295</v>
      </c>
      <c r="U107" s="31"/>
      <c r="V107" s="488"/>
      <c r="W107" s="465"/>
      <c r="X107" s="34" t="s">
        <v>18</v>
      </c>
      <c r="Y107" s="31" t="s">
        <v>3</v>
      </c>
      <c r="Z107" s="13">
        <f>$G$107*AA107-0.1</f>
        <v>4.3799176468639729</v>
      </c>
      <c r="AA107" s="20">
        <f t="shared" si="28"/>
        <v>4479.9176468639725</v>
      </c>
      <c r="AB107" s="42"/>
      <c r="AC107" s="512"/>
      <c r="AD107" s="464"/>
      <c r="AE107" s="209" t="s">
        <v>18</v>
      </c>
      <c r="AF107" s="31" t="s">
        <v>3</v>
      </c>
      <c r="AG107" s="13">
        <f>$G$107*AH107+0.1</f>
        <v>0.12059733574322951</v>
      </c>
      <c r="AH107" s="12">
        <f t="shared" si="29"/>
        <v>20.5973357432295</v>
      </c>
      <c r="AI107" s="71" t="s">
        <v>150</v>
      </c>
      <c r="AJ107" s="472"/>
      <c r="AK107" s="465"/>
      <c r="AL107" s="34" t="s">
        <v>18</v>
      </c>
      <c r="AM107" s="31" t="s">
        <v>3</v>
      </c>
      <c r="AN107" s="13">
        <f>$G$107*AO107</f>
        <v>0.76210092769164783</v>
      </c>
      <c r="AO107" s="12">
        <f t="shared" si="30"/>
        <v>762.10092769164783</v>
      </c>
      <c r="AP107" s="31"/>
      <c r="AQ107" s="4">
        <f t="shared" si="31"/>
        <v>-9.4103833503389467E-8</v>
      </c>
    </row>
    <row r="108" spans="1:43" ht="63.75" x14ac:dyDescent="0.2">
      <c r="A108" s="488"/>
      <c r="B108" s="465"/>
      <c r="C108" s="34" t="s">
        <v>17</v>
      </c>
      <c r="D108" s="31" t="s">
        <v>12</v>
      </c>
      <c r="E108" s="32">
        <v>1</v>
      </c>
      <c r="F108" s="32">
        <v>18774</v>
      </c>
      <c r="G108" s="18">
        <f t="shared" si="25"/>
        <v>5.3265153936294876E-5</v>
      </c>
      <c r="H108" s="488"/>
      <c r="I108" s="465"/>
      <c r="J108" s="34" t="s">
        <v>17</v>
      </c>
      <c r="K108" s="31" t="s">
        <v>12</v>
      </c>
      <c r="L108" s="13">
        <f>$G$108*M108-0.1</f>
        <v>0.37167868480617527</v>
      </c>
      <c r="M108" s="12">
        <f t="shared" si="26"/>
        <v>8855.2956285511355</v>
      </c>
      <c r="N108" s="31"/>
      <c r="O108" s="488"/>
      <c r="P108" s="465"/>
      <c r="Q108" s="34" t="s">
        <v>17</v>
      </c>
      <c r="R108" s="31" t="s">
        <v>12</v>
      </c>
      <c r="S108" s="13">
        <f>$G$108*T108+0.1</f>
        <v>0.10205973357432295</v>
      </c>
      <c r="T108" s="12">
        <f t="shared" si="27"/>
        <v>38.669438124339067</v>
      </c>
      <c r="U108" s="31"/>
      <c r="V108" s="488"/>
      <c r="W108" s="465"/>
      <c r="X108" s="34" t="s">
        <v>17</v>
      </c>
      <c r="Y108" s="31" t="s">
        <v>12</v>
      </c>
      <c r="Z108" s="13">
        <f>$G$108*AA108-0.1</f>
        <v>0.34799176468639736</v>
      </c>
      <c r="AA108" s="20">
        <f t="shared" si="28"/>
        <v>8410.5973902224232</v>
      </c>
      <c r="AB108" s="42"/>
      <c r="AC108" s="512"/>
      <c r="AD108" s="464"/>
      <c r="AE108" s="209" t="s">
        <v>17</v>
      </c>
      <c r="AF108" s="31" t="s">
        <v>12</v>
      </c>
      <c r="AG108" s="13">
        <f>$G$108*AH108+0.1</f>
        <v>0.10205973357432295</v>
      </c>
      <c r="AH108" s="12">
        <f t="shared" si="29"/>
        <v>38.669438124339067</v>
      </c>
      <c r="AI108" s="71" t="s">
        <v>150</v>
      </c>
      <c r="AJ108" s="472"/>
      <c r="AK108" s="465"/>
      <c r="AL108" s="34" t="s">
        <v>17</v>
      </c>
      <c r="AM108" s="31" t="s">
        <v>12</v>
      </c>
      <c r="AN108" s="13">
        <f>$G$108*AO108</f>
        <v>7.6210092769164781E-2</v>
      </c>
      <c r="AO108" s="12">
        <f t="shared" si="30"/>
        <v>1430.7682816482995</v>
      </c>
      <c r="AP108" s="31"/>
      <c r="AQ108" s="4">
        <f t="shared" si="31"/>
        <v>-9.4103833336856013E-9</v>
      </c>
    </row>
    <row r="109" spans="1:43" ht="89.25" x14ac:dyDescent="0.2">
      <c r="A109" s="488"/>
      <c r="B109" s="465"/>
      <c r="C109" s="34" t="s">
        <v>16</v>
      </c>
      <c r="D109" s="31" t="s">
        <v>3</v>
      </c>
      <c r="E109" s="32">
        <v>90</v>
      </c>
      <c r="F109" s="32">
        <f>200000+20000+24000+4000+2000+165000</f>
        <v>415000</v>
      </c>
      <c r="G109" s="18">
        <f t="shared" si="25"/>
        <v>2.1686746987951806E-4</v>
      </c>
      <c r="H109" s="488"/>
      <c r="I109" s="465"/>
      <c r="J109" s="34" t="s">
        <v>16</v>
      </c>
      <c r="K109" s="31" t="s">
        <v>3</v>
      </c>
      <c r="L109" s="13">
        <f>$G$109*M109</f>
        <v>42.451081632555784</v>
      </c>
      <c r="M109" s="12">
        <f t="shared" si="26"/>
        <v>195746.65419456278</v>
      </c>
      <c r="N109" s="31"/>
      <c r="O109" s="488"/>
      <c r="P109" s="465"/>
      <c r="Q109" s="34" t="s">
        <v>16</v>
      </c>
      <c r="R109" s="31" t="s">
        <v>3</v>
      </c>
      <c r="S109" s="13">
        <f>$G$109*T109</f>
        <v>0.1853760216890655</v>
      </c>
      <c r="T109" s="12">
        <f t="shared" si="27"/>
        <v>854.78943334402425</v>
      </c>
      <c r="U109" s="31"/>
      <c r="V109" s="488"/>
      <c r="W109" s="465"/>
      <c r="X109" s="34" t="s">
        <v>16</v>
      </c>
      <c r="Y109" s="31" t="s">
        <v>3</v>
      </c>
      <c r="Z109" s="13">
        <f>$G$109*AA109</f>
        <v>40.319258821775755</v>
      </c>
      <c r="AA109" s="20">
        <f t="shared" si="28"/>
        <v>185916.58234485486</v>
      </c>
      <c r="AB109" s="42"/>
      <c r="AC109" s="512"/>
      <c r="AD109" s="464"/>
      <c r="AE109" s="209" t="s">
        <v>16</v>
      </c>
      <c r="AF109" s="31" t="s">
        <v>3</v>
      </c>
      <c r="AG109" s="13">
        <f>$G$109*AH109</f>
        <v>0.1853760216890655</v>
      </c>
      <c r="AH109" s="12">
        <f t="shared" si="29"/>
        <v>854.78943334402425</v>
      </c>
      <c r="AI109" s="71" t="s">
        <v>150</v>
      </c>
      <c r="AJ109" s="472"/>
      <c r="AK109" s="465"/>
      <c r="AL109" s="34" t="s">
        <v>16</v>
      </c>
      <c r="AM109" s="31" t="s">
        <v>3</v>
      </c>
      <c r="AN109" s="13">
        <f>$G$109*AO109</f>
        <v>6.8589083492248299</v>
      </c>
      <c r="AO109" s="12">
        <f t="shared" si="30"/>
        <v>31627.188499203385</v>
      </c>
      <c r="AP109" s="31"/>
      <c r="AQ109" s="4">
        <f t="shared" si="31"/>
        <v>-8.4693450030925987E-7</v>
      </c>
    </row>
    <row r="110" spans="1:43" ht="38.25" x14ac:dyDescent="0.2">
      <c r="A110" s="488"/>
      <c r="B110" s="465"/>
      <c r="C110" s="34" t="s">
        <v>15</v>
      </c>
      <c r="D110" s="31" t="s">
        <v>12</v>
      </c>
      <c r="E110" s="32">
        <v>1</v>
      </c>
      <c r="F110" s="32">
        <v>7500</v>
      </c>
      <c r="G110" s="18">
        <f t="shared" si="25"/>
        <v>1.3333333333333334E-4</v>
      </c>
      <c r="H110" s="488"/>
      <c r="I110" s="465"/>
      <c r="J110" s="34" t="s">
        <v>15</v>
      </c>
      <c r="K110" s="31" t="s">
        <v>12</v>
      </c>
      <c r="L110" s="13">
        <f>$G$110*M110-0.1</f>
        <v>0.37167868480617539</v>
      </c>
      <c r="M110" s="12">
        <f t="shared" si="26"/>
        <v>3537.5901360463154</v>
      </c>
      <c r="N110" s="31"/>
      <c r="O110" s="488"/>
      <c r="P110" s="465"/>
      <c r="Q110" s="34" t="s">
        <v>15</v>
      </c>
      <c r="R110" s="31" t="s">
        <v>12</v>
      </c>
      <c r="S110" s="13">
        <f>$G$110*T110+0.1</f>
        <v>0.10205973357432295</v>
      </c>
      <c r="T110" s="12">
        <f t="shared" si="27"/>
        <v>15.448001807422125</v>
      </c>
      <c r="U110" s="31"/>
      <c r="V110" s="488"/>
      <c r="W110" s="465"/>
      <c r="X110" s="34" t="s">
        <v>15</v>
      </c>
      <c r="Y110" s="31" t="s">
        <v>12</v>
      </c>
      <c r="Z110" s="13">
        <f>$G$110*AA110</f>
        <v>0.44799176468639734</v>
      </c>
      <c r="AA110" s="20">
        <f t="shared" si="28"/>
        <v>3359.9382351479799</v>
      </c>
      <c r="AB110" s="42"/>
      <c r="AC110" s="512"/>
      <c r="AD110" s="464"/>
      <c r="AE110" s="209" t="s">
        <v>15</v>
      </c>
      <c r="AF110" s="31" t="s">
        <v>12</v>
      </c>
      <c r="AG110" s="13">
        <f>$G$110*AH110</f>
        <v>2.0597335743229501E-3</v>
      </c>
      <c r="AH110" s="12">
        <f t="shared" si="29"/>
        <v>15.448001807422125</v>
      </c>
      <c r="AI110" s="71" t="s">
        <v>140</v>
      </c>
      <c r="AJ110" s="472"/>
      <c r="AK110" s="465"/>
      <c r="AL110" s="34" t="s">
        <v>15</v>
      </c>
      <c r="AM110" s="31" t="s">
        <v>12</v>
      </c>
      <c r="AN110" s="13">
        <f>$G$110*AO110</f>
        <v>7.6210092769164781E-2</v>
      </c>
      <c r="AO110" s="12">
        <f t="shared" si="30"/>
        <v>571.57569576873584</v>
      </c>
      <c r="AP110" s="31"/>
      <c r="AQ110" s="4">
        <f t="shared" si="31"/>
        <v>-9.4103834169523282E-9</v>
      </c>
    </row>
    <row r="111" spans="1:43" ht="108" x14ac:dyDescent="0.2">
      <c r="A111" s="488"/>
      <c r="B111" s="465"/>
      <c r="C111" s="15" t="s">
        <v>14</v>
      </c>
      <c r="D111" s="31" t="s">
        <v>10</v>
      </c>
      <c r="E111" s="33">
        <v>110</v>
      </c>
      <c r="F111" s="33">
        <v>20000</v>
      </c>
      <c r="G111" s="18">
        <f t="shared" si="25"/>
        <v>5.4999999999999997E-3</v>
      </c>
      <c r="H111" s="488"/>
      <c r="I111" s="465"/>
      <c r="J111" s="15" t="s">
        <v>14</v>
      </c>
      <c r="K111" s="31" t="s">
        <v>10</v>
      </c>
      <c r="L111" s="13">
        <f>$G$111*M111</f>
        <v>51.884655328679287</v>
      </c>
      <c r="M111" s="12">
        <f t="shared" si="26"/>
        <v>9433.573696123507</v>
      </c>
      <c r="N111" s="31"/>
      <c r="O111" s="488"/>
      <c r="P111" s="465"/>
      <c r="Q111" s="15" t="s">
        <v>14</v>
      </c>
      <c r="R111" s="31" t="s">
        <v>10</v>
      </c>
      <c r="S111" s="13">
        <f>$G$111*T111</f>
        <v>0.2265706931755245</v>
      </c>
      <c r="T111" s="12">
        <f t="shared" si="27"/>
        <v>41.194671486459001</v>
      </c>
      <c r="U111" s="31"/>
      <c r="V111" s="488"/>
      <c r="W111" s="465"/>
      <c r="X111" s="15" t="s">
        <v>14</v>
      </c>
      <c r="Y111" s="31" t="s">
        <v>10</v>
      </c>
      <c r="Z111" s="13">
        <f>$G$111*AA111</f>
        <v>49.279094115503696</v>
      </c>
      <c r="AA111" s="20">
        <f t="shared" si="28"/>
        <v>8959.8352937279451</v>
      </c>
      <c r="AB111" s="42"/>
      <c r="AC111" s="512"/>
      <c r="AD111" s="464"/>
      <c r="AE111" s="210" t="s">
        <v>14</v>
      </c>
      <c r="AF111" s="31" t="s">
        <v>10</v>
      </c>
      <c r="AG111" s="13">
        <f>$G$111*AH111</f>
        <v>0.2265706931755245</v>
      </c>
      <c r="AH111" s="12">
        <f t="shared" si="29"/>
        <v>41.194671486459001</v>
      </c>
      <c r="AI111" s="71" t="s">
        <v>150</v>
      </c>
      <c r="AJ111" s="472"/>
      <c r="AK111" s="465"/>
      <c r="AL111" s="15" t="s">
        <v>14</v>
      </c>
      <c r="AM111" s="31" t="s">
        <v>10</v>
      </c>
      <c r="AN111" s="13">
        <f>$G$111*AO111</f>
        <v>8.3831102046081263</v>
      </c>
      <c r="AO111" s="12">
        <f t="shared" si="30"/>
        <v>1524.2018553832957</v>
      </c>
      <c r="AP111" s="31"/>
      <c r="AQ111" s="4">
        <f t="shared" si="31"/>
        <v>-1.0351421586562992E-6</v>
      </c>
    </row>
    <row r="112" spans="1:43" ht="40.5" x14ac:dyDescent="0.2">
      <c r="A112" s="488"/>
      <c r="B112" s="465"/>
      <c r="C112" s="15" t="s">
        <v>13</v>
      </c>
      <c r="D112" s="31" t="s">
        <v>12</v>
      </c>
      <c r="E112" s="33">
        <v>1</v>
      </c>
      <c r="F112" s="33">
        <v>150000</v>
      </c>
      <c r="G112" s="18">
        <f t="shared" si="25"/>
        <v>6.6666666666666666E-6</v>
      </c>
      <c r="H112" s="488"/>
      <c r="I112" s="465"/>
      <c r="J112" s="15" t="s">
        <v>13</v>
      </c>
      <c r="K112" s="31" t="s">
        <v>12</v>
      </c>
      <c r="L112" s="13">
        <f>$G$112*M112-0.1</f>
        <v>0.37167868480617539</v>
      </c>
      <c r="M112" s="12">
        <f t="shared" si="26"/>
        <v>70751.802720926309</v>
      </c>
      <c r="N112" s="31"/>
      <c r="O112" s="488"/>
      <c r="P112" s="465"/>
      <c r="Q112" s="15" t="s">
        <v>13</v>
      </c>
      <c r="R112" s="31" t="s">
        <v>12</v>
      </c>
      <c r="S112" s="13">
        <f>$G$112*T112+0.1</f>
        <v>0.10205973357432295</v>
      </c>
      <c r="T112" s="12">
        <f t="shared" si="27"/>
        <v>308.9600361484425</v>
      </c>
      <c r="U112" s="31"/>
      <c r="V112" s="488"/>
      <c r="W112" s="465"/>
      <c r="X112" s="15" t="s">
        <v>13</v>
      </c>
      <c r="Y112" s="31" t="s">
        <v>12</v>
      </c>
      <c r="Z112" s="13">
        <f>$G$112*AA112-0.1</f>
        <v>0.34799176468639725</v>
      </c>
      <c r="AA112" s="20">
        <f t="shared" si="28"/>
        <v>67198.764702959597</v>
      </c>
      <c r="AB112" s="42"/>
      <c r="AC112" s="512"/>
      <c r="AD112" s="464"/>
      <c r="AE112" s="210" t="s">
        <v>13</v>
      </c>
      <c r="AF112" s="31" t="s">
        <v>12</v>
      </c>
      <c r="AG112" s="13">
        <f>$G$112*AH112+0.1</f>
        <v>0.10205973357432295</v>
      </c>
      <c r="AH112" s="12">
        <f t="shared" si="29"/>
        <v>308.9600361484425</v>
      </c>
      <c r="AI112" s="71" t="s">
        <v>150</v>
      </c>
      <c r="AJ112" s="472"/>
      <c r="AK112" s="465"/>
      <c r="AL112" s="15" t="s">
        <v>13</v>
      </c>
      <c r="AM112" s="31" t="s">
        <v>12</v>
      </c>
      <c r="AN112" s="13">
        <f>$G$112*AO112</f>
        <v>7.6210092769164781E-2</v>
      </c>
      <c r="AO112" s="12">
        <f t="shared" si="30"/>
        <v>11431.513915374717</v>
      </c>
      <c r="AP112" s="31"/>
      <c r="AQ112" s="4">
        <f t="shared" si="31"/>
        <v>-9.4103833336856013E-9</v>
      </c>
    </row>
    <row r="113" spans="1:43" ht="42.75" x14ac:dyDescent="0.2">
      <c r="A113" s="17"/>
      <c r="B113" s="16"/>
      <c r="C113" s="31" t="s">
        <v>11</v>
      </c>
      <c r="D113" s="31" t="s">
        <v>10</v>
      </c>
      <c r="E113" s="32">
        <v>1140</v>
      </c>
      <c r="F113" s="32">
        <f>23000+5000</f>
        <v>28000</v>
      </c>
      <c r="G113" s="18">
        <f t="shared" si="25"/>
        <v>4.0714285714285717E-2</v>
      </c>
      <c r="H113" s="17"/>
      <c r="I113" s="16"/>
      <c r="J113" s="31" t="s">
        <v>11</v>
      </c>
      <c r="K113" s="31" t="s">
        <v>10</v>
      </c>
      <c r="L113" s="13">
        <f>$G$113*M113</f>
        <v>537.7137006790399</v>
      </c>
      <c r="M113" s="12">
        <f t="shared" si="26"/>
        <v>13207.00317457291</v>
      </c>
      <c r="N113" s="31"/>
      <c r="O113" s="17"/>
      <c r="P113" s="16"/>
      <c r="Q113" s="31" t="s">
        <v>11</v>
      </c>
      <c r="R113" s="31" t="s">
        <v>10</v>
      </c>
      <c r="S113" s="13">
        <f>$G$113*T113</f>
        <v>2.3480962747281633</v>
      </c>
      <c r="T113" s="12">
        <f t="shared" si="27"/>
        <v>57.672540081042605</v>
      </c>
      <c r="U113" s="31"/>
      <c r="V113" s="17"/>
      <c r="W113" s="16"/>
      <c r="X113" s="31" t="s">
        <v>11</v>
      </c>
      <c r="Y113" s="31" t="s">
        <v>10</v>
      </c>
      <c r="Z113" s="13">
        <f>$G$113*AA113</f>
        <v>510.71061174249292</v>
      </c>
      <c r="AA113" s="20">
        <f t="shared" si="28"/>
        <v>12543.769411219124</v>
      </c>
      <c r="AB113" s="42"/>
      <c r="AC113" s="324"/>
      <c r="AD113" s="325"/>
      <c r="AE113" s="124" t="s">
        <v>11</v>
      </c>
      <c r="AF113" s="31" t="s">
        <v>10</v>
      </c>
      <c r="AG113" s="13">
        <f>$G$113*AH113</f>
        <v>2.3480962747281633</v>
      </c>
      <c r="AH113" s="12">
        <f t="shared" si="29"/>
        <v>57.672540081042605</v>
      </c>
      <c r="AI113" s="71" t="s">
        <v>150</v>
      </c>
      <c r="AJ113" s="327"/>
      <c r="AK113" s="16"/>
      <c r="AL113" s="31" t="s">
        <v>11</v>
      </c>
      <c r="AM113" s="31" t="s">
        <v>10</v>
      </c>
      <c r="AN113" s="13">
        <f>$G$113*AO113</f>
        <v>86.879505756847863</v>
      </c>
      <c r="AO113" s="12">
        <f t="shared" si="30"/>
        <v>2133.882597536614</v>
      </c>
      <c r="AP113" s="31"/>
      <c r="AQ113" s="4">
        <f t="shared" si="31"/>
        <v>-1.0727837008062124E-5</v>
      </c>
    </row>
    <row r="114" spans="1:43" s="21" customFormat="1" x14ac:dyDescent="0.2">
      <c r="A114" s="27"/>
      <c r="B114" s="26"/>
      <c r="C114" s="25" t="s">
        <v>9</v>
      </c>
      <c r="D114" s="24" t="s">
        <v>8</v>
      </c>
      <c r="E114" s="30">
        <f>3393+3637.5</f>
        <v>7030.5</v>
      </c>
      <c r="F114" s="29">
        <v>558159.99800000002</v>
      </c>
      <c r="G114" s="18">
        <f t="shared" si="25"/>
        <v>1.259585069727623E-2</v>
      </c>
      <c r="H114" s="27"/>
      <c r="I114" s="26"/>
      <c r="J114" s="25" t="s">
        <v>9</v>
      </c>
      <c r="K114" s="24" t="s">
        <v>8</v>
      </c>
      <c r="L114" s="13">
        <f>$G$114*M114</f>
        <v>3621.6848316010755</v>
      </c>
      <c r="M114" s="28">
        <f>288785.58/460*458</f>
        <v>287529.99052173912</v>
      </c>
      <c r="N114" s="22"/>
      <c r="O114" s="27"/>
      <c r="P114" s="26"/>
      <c r="Q114" s="25" t="s">
        <v>9</v>
      </c>
      <c r="R114" s="24" t="s">
        <v>8</v>
      </c>
      <c r="S114" s="13">
        <f>$G$114*T114</f>
        <v>15.815217605244872</v>
      </c>
      <c r="T114" s="28">
        <f>288785.58/460*2</f>
        <v>1255.5894782608696</v>
      </c>
      <c r="U114" s="22"/>
      <c r="V114" s="27"/>
      <c r="W114" s="26"/>
      <c r="X114" s="25" t="s">
        <v>9</v>
      </c>
      <c r="Y114" s="24" t="s">
        <v>8</v>
      </c>
      <c r="Z114" s="13">
        <f>$G$114*AA114</f>
        <v>2888.3659286764</v>
      </c>
      <c r="AA114" s="23">
        <f>269374.42/SUM($J$2:$L$2)*J2</f>
        <v>229310.90547945205</v>
      </c>
      <c r="AB114" s="22"/>
      <c r="AC114" s="27"/>
      <c r="AD114" s="562"/>
      <c r="AE114" s="25" t="s">
        <v>9</v>
      </c>
      <c r="AF114" s="563" t="s">
        <v>8</v>
      </c>
      <c r="AG114" s="13">
        <f>$G$114*AH114</f>
        <v>13.279843350236321</v>
      </c>
      <c r="AH114" s="23">
        <f>269374.42/SUM($J$2:$L$2)*K2</f>
        <v>1054.3030136986301</v>
      </c>
      <c r="AI114" s="563" t="s">
        <v>150</v>
      </c>
      <c r="AJ114" s="217"/>
      <c r="AK114" s="26"/>
      <c r="AL114" s="25" t="s">
        <v>9</v>
      </c>
      <c r="AM114" s="24" t="s">
        <v>8</v>
      </c>
      <c r="AN114" s="13">
        <f>$G$114*AO114</f>
        <v>491.35420395874388</v>
      </c>
      <c r="AO114" s="23">
        <f>269374.42/SUM($J$2:$L$2)*L2</f>
        <v>39009.211506849315</v>
      </c>
      <c r="AP114" s="22"/>
      <c r="AQ114" s="4">
        <f t="shared" si="31"/>
        <v>-2.5191700672166917E-5</v>
      </c>
    </row>
    <row r="115" spans="1:43" ht="54" x14ac:dyDescent="0.2">
      <c r="A115" s="17"/>
      <c r="B115" s="16"/>
      <c r="C115" s="15" t="s">
        <v>7</v>
      </c>
      <c r="D115" s="14" t="s">
        <v>3</v>
      </c>
      <c r="E115" s="19">
        <v>18</v>
      </c>
      <c r="F115" s="19">
        <v>11730</v>
      </c>
      <c r="G115" s="18">
        <f t="shared" si="25"/>
        <v>1.5345268542199489E-3</v>
      </c>
      <c r="H115" s="17"/>
      <c r="I115" s="16"/>
      <c r="J115" s="15" t="s">
        <v>7</v>
      </c>
      <c r="K115" s="14" t="s">
        <v>3</v>
      </c>
      <c r="L115" s="13">
        <f>$G$115*M115-0.1</f>
        <v>8.3902163265111582</v>
      </c>
      <c r="M115" s="12">
        <f>$N$124/($F$119-558160)*F115</f>
        <v>5532.7909727764372</v>
      </c>
      <c r="N115" s="11"/>
      <c r="O115" s="17"/>
      <c r="P115" s="16"/>
      <c r="Q115" s="15" t="s">
        <v>7</v>
      </c>
      <c r="R115" s="14" t="s">
        <v>3</v>
      </c>
      <c r="S115" s="13">
        <f>$G$115*T115+0.1</f>
        <v>0.13707520433781312</v>
      </c>
      <c r="T115" s="12">
        <f>$U$124/($F$119-558160)*F115</f>
        <v>24.160674826808204</v>
      </c>
      <c r="U115" s="11"/>
      <c r="V115" s="17"/>
      <c r="W115" s="16"/>
      <c r="X115" s="15" t="s">
        <v>7</v>
      </c>
      <c r="Y115" s="14" t="s">
        <v>3</v>
      </c>
      <c r="Z115" s="13">
        <f>$G$115*AA115-0.1</f>
        <v>7.9638517643551516</v>
      </c>
      <c r="AA115" s="20">
        <f>$AB$124/($F$119-558160)*F115</f>
        <v>5254.9433997714405</v>
      </c>
      <c r="AB115" s="11"/>
      <c r="AC115" s="324"/>
      <c r="AD115" s="325"/>
      <c r="AE115" s="210" t="s">
        <v>7</v>
      </c>
      <c r="AF115" s="14" t="s">
        <v>3</v>
      </c>
      <c r="AG115" s="13">
        <f>$G$115*AH115+0.13</f>
        <v>0.16707520433781312</v>
      </c>
      <c r="AH115" s="12">
        <f>$AI$124/($F$119-558160)*F115</f>
        <v>24.160674826808204</v>
      </c>
      <c r="AI115" s="219" t="s">
        <v>150</v>
      </c>
      <c r="AJ115" s="327"/>
      <c r="AK115" s="16"/>
      <c r="AL115" s="15" t="s">
        <v>7</v>
      </c>
      <c r="AM115" s="14" t="s">
        <v>3</v>
      </c>
      <c r="AN115" s="13">
        <f>$G$115*AO115</f>
        <v>1.3717816698449661</v>
      </c>
      <c r="AO115" s="12">
        <f>$AP$123/($F$119-558160)*F115</f>
        <v>893.94438818230287</v>
      </c>
      <c r="AP115" s="11"/>
      <c r="AQ115" s="4">
        <f t="shared" si="31"/>
        <v>-3.0000169386902753E-2</v>
      </c>
    </row>
    <row r="116" spans="1:43" ht="27" x14ac:dyDescent="0.2">
      <c r="A116" s="17"/>
      <c r="B116" s="16"/>
      <c r="C116" s="15" t="s">
        <v>6</v>
      </c>
      <c r="D116" s="14" t="s">
        <v>3</v>
      </c>
      <c r="E116" s="19">
        <v>31</v>
      </c>
      <c r="F116" s="19">
        <v>72300</v>
      </c>
      <c r="G116" s="18">
        <f t="shared" si="25"/>
        <v>4.2876901798063625E-4</v>
      </c>
      <c r="H116" s="17"/>
      <c r="I116" s="16"/>
      <c r="J116" s="15" t="s">
        <v>6</v>
      </c>
      <c r="K116" s="14" t="s">
        <v>3</v>
      </c>
      <c r="L116" s="13">
        <f>$G$116*M116</f>
        <v>14.622039228991435</v>
      </c>
      <c r="M116" s="12">
        <f>$N$124/($F$119-558160)*F116</f>
        <v>34102.368911486476</v>
      </c>
      <c r="N116" s="11"/>
      <c r="O116" s="17"/>
      <c r="P116" s="16"/>
      <c r="Q116" s="15" t="s">
        <v>6</v>
      </c>
      <c r="R116" s="14" t="s">
        <v>3</v>
      </c>
      <c r="S116" s="13">
        <f>$G$116*T116</f>
        <v>6.3851740804011459E-2</v>
      </c>
      <c r="T116" s="12">
        <f>$U$124/($F$119-558160)*F116</f>
        <v>148.91873742354929</v>
      </c>
      <c r="U116" s="11"/>
      <c r="V116" s="17"/>
      <c r="W116" s="16"/>
      <c r="X116" s="15" t="s">
        <v>6</v>
      </c>
      <c r="Y116" s="14" t="s">
        <v>3</v>
      </c>
      <c r="Z116" s="13">
        <f>$G$116*AA116</f>
        <v>13.887744705278317</v>
      </c>
      <c r="AA116" s="20">
        <f>$AB$124/($F$119-558160)*F116</f>
        <v>32389.804586826525</v>
      </c>
      <c r="AB116" s="11"/>
      <c r="AC116" s="324"/>
      <c r="AD116" s="325"/>
      <c r="AE116" s="210" t="s">
        <v>6</v>
      </c>
      <c r="AF116" s="14" t="s">
        <v>3</v>
      </c>
      <c r="AG116" s="13">
        <f>$G$116*AH116</f>
        <v>6.3851740804011459E-2</v>
      </c>
      <c r="AH116" s="12">
        <f>$AI$124/($F$119-558160)*F116</f>
        <v>148.91873742354929</v>
      </c>
      <c r="AI116" s="219" t="s">
        <v>150</v>
      </c>
      <c r="AJ116" s="327"/>
      <c r="AK116" s="16"/>
      <c r="AL116" s="15" t="s">
        <v>6</v>
      </c>
      <c r="AM116" s="14" t="s">
        <v>3</v>
      </c>
      <c r="AN116" s="13">
        <f>$G$116*AO116</f>
        <v>2.3625128758441081</v>
      </c>
      <c r="AO116" s="12">
        <f>$AP$123/($F$119-558160)*F116</f>
        <v>5509.9897072106132</v>
      </c>
      <c r="AP116" s="11"/>
      <c r="AQ116" s="4">
        <f t="shared" si="31"/>
        <v>-2.9172188131809662E-7</v>
      </c>
    </row>
    <row r="117" spans="1:43" ht="27" x14ac:dyDescent="0.2">
      <c r="A117" s="17"/>
      <c r="B117" s="16"/>
      <c r="C117" s="15" t="s">
        <v>5</v>
      </c>
      <c r="D117" s="14" t="s">
        <v>3</v>
      </c>
      <c r="E117" s="19">
        <v>13</v>
      </c>
      <c r="F117" s="19">
        <v>55500.000000000007</v>
      </c>
      <c r="G117" s="18">
        <f t="shared" si="25"/>
        <v>2.3423423423423422E-4</v>
      </c>
      <c r="H117" s="17"/>
      <c r="I117" s="16"/>
      <c r="J117" s="15" t="s">
        <v>5</v>
      </c>
      <c r="K117" s="14" t="s">
        <v>3</v>
      </c>
      <c r="L117" s="13">
        <f>$G$117*M117-0.1</f>
        <v>6.0318229024802807</v>
      </c>
      <c r="M117" s="12">
        <f>$N$124/($F$119-558160)*F117</f>
        <v>26178.167006742737</v>
      </c>
      <c r="N117" s="11"/>
      <c r="O117" s="17"/>
      <c r="P117" s="16"/>
      <c r="Q117" s="15" t="s">
        <v>5</v>
      </c>
      <c r="R117" s="14" t="s">
        <v>3</v>
      </c>
      <c r="S117" s="13">
        <f>$G$117*T117+0.1</f>
        <v>0.12677653646619835</v>
      </c>
      <c r="T117" s="12">
        <f>$U$124/($F$119-558160)*F117</f>
        <v>114.31521337492374</v>
      </c>
      <c r="U117" s="11"/>
      <c r="V117" s="17"/>
      <c r="W117" s="16"/>
      <c r="X117" s="15" t="s">
        <v>5</v>
      </c>
      <c r="Y117" s="14" t="s">
        <v>3</v>
      </c>
      <c r="Z117" s="13">
        <f>$G$117*AA117-0.1</f>
        <v>5.7238929409231654</v>
      </c>
      <c r="AA117" s="20">
        <f>$AB$124/($F$119-558160)*F117</f>
        <v>24863.542940095052</v>
      </c>
      <c r="AB117" s="11"/>
      <c r="AC117" s="324"/>
      <c r="AD117" s="325"/>
      <c r="AE117" s="210" t="s">
        <v>5</v>
      </c>
      <c r="AF117" s="14" t="s">
        <v>3</v>
      </c>
      <c r="AG117" s="13">
        <f>$G$117*AH117+0.1</f>
        <v>0.12677653646619835</v>
      </c>
      <c r="AH117" s="12">
        <f>$AI$124/($F$119-558160)*F117</f>
        <v>114.31521337492374</v>
      </c>
      <c r="AI117" s="219" t="s">
        <v>150</v>
      </c>
      <c r="AJ117" s="327"/>
      <c r="AK117" s="16"/>
      <c r="AL117" s="15" t="s">
        <v>5</v>
      </c>
      <c r="AM117" s="14" t="s">
        <v>3</v>
      </c>
      <c r="AN117" s="13">
        <f>$G$117*AO117</f>
        <v>0.99073120599914211</v>
      </c>
      <c r="AO117" s="12">
        <f>$AP$123/($F$119-558160)*F117</f>
        <v>4229.6601486886457</v>
      </c>
      <c r="AP117" s="11"/>
      <c r="AQ117" s="4">
        <f t="shared" si="31"/>
        <v>-1.2233498469793602E-7</v>
      </c>
    </row>
    <row r="118" spans="1:43" ht="27.75" thickBot="1" x14ac:dyDescent="0.25">
      <c r="A118" s="17"/>
      <c r="B118" s="16"/>
      <c r="C118" s="15" t="s">
        <v>4</v>
      </c>
      <c r="D118" s="14" t="s">
        <v>3</v>
      </c>
      <c r="E118" s="19">
        <v>30</v>
      </c>
      <c r="F118" s="19">
        <v>22200</v>
      </c>
      <c r="G118" s="18">
        <f t="shared" si="25"/>
        <v>1.3513513513513514E-3</v>
      </c>
      <c r="H118" s="17"/>
      <c r="I118" s="16"/>
      <c r="J118" s="15" t="s">
        <v>4</v>
      </c>
      <c r="K118" s="14" t="s">
        <v>3</v>
      </c>
      <c r="L118" s="13">
        <f>$G$118*M118</f>
        <v>14.150360544185261</v>
      </c>
      <c r="M118" s="12">
        <f>$N$124/($F$119-558160)*F118</f>
        <v>10471.266802697093</v>
      </c>
      <c r="N118" s="11"/>
      <c r="O118" s="17"/>
      <c r="P118" s="16"/>
      <c r="Q118" s="15" t="s">
        <v>4</v>
      </c>
      <c r="R118" s="14" t="s">
        <v>3</v>
      </c>
      <c r="S118" s="13">
        <f>$G$118*T118</f>
        <v>6.1792007229688507E-2</v>
      </c>
      <c r="T118" s="12">
        <f>$U$124/($F$119-558160)*F118</f>
        <v>45.726085349969495</v>
      </c>
      <c r="U118" s="11"/>
      <c r="V118" s="17"/>
      <c r="W118" s="16"/>
      <c r="X118" s="15" t="s">
        <v>4</v>
      </c>
      <c r="Y118" s="14" t="s">
        <v>3</v>
      </c>
      <c r="Z118" s="13">
        <f>$G$118*AA118</f>
        <v>13.439752940591919</v>
      </c>
      <c r="AA118" s="2">
        <f>$AB$124/($F$119-558160)*F118</f>
        <v>9945.4171760380195</v>
      </c>
      <c r="AB118" s="11"/>
      <c r="AC118" s="10"/>
      <c r="AD118" s="326"/>
      <c r="AE118" s="359" t="s">
        <v>4</v>
      </c>
      <c r="AF118" s="224" t="s">
        <v>3</v>
      </c>
      <c r="AG118" s="242">
        <f>$G$118*AH118</f>
        <v>6.1792007229688507E-2</v>
      </c>
      <c r="AH118" s="375">
        <f>$AI$124/($F$119-558160)*F118</f>
        <v>45.726085349969495</v>
      </c>
      <c r="AI118" s="227" t="s">
        <v>150</v>
      </c>
      <c r="AJ118" s="327"/>
      <c r="AK118" s="16"/>
      <c r="AL118" s="15" t="s">
        <v>4</v>
      </c>
      <c r="AM118" s="14" t="s">
        <v>3</v>
      </c>
      <c r="AN118" s="13">
        <f>$G$118*AO118</f>
        <v>2.2863027830749436</v>
      </c>
      <c r="AO118" s="12">
        <f>$AP$123/($F$119-558160)*F118</f>
        <v>1691.8640594754581</v>
      </c>
      <c r="AP118" s="11"/>
      <c r="AQ118" s="4">
        <f t="shared" si="31"/>
        <v>-2.8231150217550294E-7</v>
      </c>
    </row>
    <row r="119" spans="1:43" ht="15" hidden="1" thickBot="1" x14ac:dyDescent="0.25">
      <c r="A119" s="10"/>
      <c r="B119" s="9"/>
      <c r="C119" s="8" t="s">
        <v>2</v>
      </c>
      <c r="D119" s="7"/>
      <c r="E119" s="6"/>
      <c r="F119" s="6">
        <f>SUM(F91:F118)</f>
        <v>2434926.999475</v>
      </c>
      <c r="G119" s="5">
        <f>SUM(G111:G112)</f>
        <v>5.5066666666666667E-3</v>
      </c>
      <c r="H119" s="10"/>
      <c r="I119" s="9"/>
      <c r="J119" s="8" t="s">
        <v>2</v>
      </c>
      <c r="K119" s="7"/>
      <c r="L119" s="6"/>
      <c r="M119" s="6">
        <f>SUM(M91:M118)</f>
        <v>1172760.9814650966</v>
      </c>
      <c r="N119" s="5">
        <f>SUM(N111:N112)</f>
        <v>0</v>
      </c>
      <c r="O119" s="10"/>
      <c r="P119" s="9"/>
      <c r="Q119" s="8" t="s">
        <v>2</v>
      </c>
      <c r="R119" s="7"/>
      <c r="S119" s="6"/>
      <c r="T119" s="6">
        <f>SUM(T91:T118)</f>
        <v>5121.2294823803377</v>
      </c>
      <c r="U119" s="5">
        <f>SUM(U111:U112)</f>
        <v>0</v>
      </c>
      <c r="V119" s="10"/>
      <c r="W119" s="9"/>
      <c r="X119" s="8" t="s">
        <v>2</v>
      </c>
      <c r="Y119" s="7"/>
      <c r="Z119" s="6"/>
      <c r="AA119" s="6">
        <f>SUM(AA91:AA118)</f>
        <v>1070087.0663754356</v>
      </c>
      <c r="AB119" s="5">
        <f>SUM(AB111:AB112)</f>
        <v>0</v>
      </c>
      <c r="AC119" s="10"/>
      <c r="AD119" s="9"/>
      <c r="AE119" s="300" t="s">
        <v>2</v>
      </c>
      <c r="AF119" s="301"/>
      <c r="AG119" s="302"/>
      <c r="AH119" s="302">
        <f>SUM(AH91:AH118)</f>
        <v>4919.9430178180983</v>
      </c>
      <c r="AI119" s="303">
        <f>SUM(AI111:AI112)</f>
        <v>0</v>
      </c>
      <c r="AJ119" s="10"/>
      <c r="AK119" s="9"/>
      <c r="AL119" s="8" t="s">
        <v>2</v>
      </c>
      <c r="AM119" s="7"/>
      <c r="AN119" s="6"/>
      <c r="AO119" s="6">
        <f>SUM(AO91:AO118)</f>
        <v>182037.79879536631</v>
      </c>
      <c r="AP119" s="5">
        <f>SUM(AP111:AP112)</f>
        <v>0</v>
      </c>
      <c r="AQ119" s="4">
        <f t="shared" si="31"/>
        <v>0</v>
      </c>
    </row>
    <row r="120" spans="1:43" ht="15" hidden="1" thickBot="1" x14ac:dyDescent="0.25">
      <c r="A120" s="456" t="s">
        <v>1</v>
      </c>
      <c r="B120" s="457"/>
      <c r="C120" s="458"/>
      <c r="D120" s="458"/>
      <c r="E120" s="459"/>
      <c r="F120" s="452">
        <f>F13+F28+F40+F52+F65+F89+F119+F57</f>
        <v>79419999.003173232</v>
      </c>
      <c r="G120" s="454"/>
      <c r="H120" s="456" t="s">
        <v>1</v>
      </c>
      <c r="I120" s="457"/>
      <c r="J120" s="458"/>
      <c r="K120" s="458"/>
      <c r="L120" s="459"/>
      <c r="M120" s="452">
        <f>M13+M28+M40+M52+M65+M89+M119+M57</f>
        <v>37669664.163633719</v>
      </c>
      <c r="N120" s="454"/>
      <c r="O120" s="456" t="s">
        <v>1</v>
      </c>
      <c r="P120" s="457"/>
      <c r="Q120" s="458"/>
      <c r="R120" s="458"/>
      <c r="S120" s="459"/>
      <c r="T120" s="452">
        <f>T13+T28+T40+T52+T65+T89+T119+T57</f>
        <v>164496.35254861886</v>
      </c>
      <c r="U120" s="454"/>
      <c r="V120" s="456" t="s">
        <v>1</v>
      </c>
      <c r="W120" s="457"/>
      <c r="X120" s="458"/>
      <c r="Y120" s="458"/>
      <c r="Z120" s="459"/>
      <c r="AA120" s="452">
        <f>AA13+AA28+AA40+AA52+AA65+AA89+AA119+AA57</f>
        <v>35400860.563696675</v>
      </c>
      <c r="AB120" s="454"/>
      <c r="AC120" s="456" t="s">
        <v>1</v>
      </c>
      <c r="AD120" s="457"/>
      <c r="AE120" s="458"/>
      <c r="AF120" s="458"/>
      <c r="AG120" s="459"/>
      <c r="AH120" s="452">
        <f>AH13+AH28+AH40+AH52+AH65+AH89+AH119+AH57</f>
        <v>162762.57978711117</v>
      </c>
      <c r="AI120" s="454"/>
      <c r="AJ120" s="456" t="s">
        <v>1</v>
      </c>
      <c r="AK120" s="457"/>
      <c r="AL120" s="458"/>
      <c r="AM120" s="458"/>
      <c r="AN120" s="459"/>
      <c r="AO120" s="452">
        <f>AO13+AO28+AO40+AO52+AO65+AO89+AO119+AO57</f>
        <v>6022215.3592592096</v>
      </c>
      <c r="AP120" s="454"/>
      <c r="AQ120" s="4">
        <f t="shared" si="31"/>
        <v>0</v>
      </c>
    </row>
    <row r="121" spans="1:43" ht="15" hidden="1" thickBot="1" x14ac:dyDescent="0.25">
      <c r="A121" s="461" t="s">
        <v>0</v>
      </c>
      <c r="B121" s="462"/>
      <c r="C121" s="462"/>
      <c r="D121" s="462"/>
      <c r="E121" s="460"/>
      <c r="F121" s="453"/>
      <c r="G121" s="455"/>
      <c r="H121" s="461" t="s">
        <v>0</v>
      </c>
      <c r="I121" s="462"/>
      <c r="J121" s="462"/>
      <c r="K121" s="462"/>
      <c r="L121" s="460"/>
      <c r="M121" s="453"/>
      <c r="N121" s="455"/>
      <c r="O121" s="461" t="s">
        <v>0</v>
      </c>
      <c r="P121" s="462"/>
      <c r="Q121" s="462"/>
      <c r="R121" s="462"/>
      <c r="S121" s="460"/>
      <c r="T121" s="453"/>
      <c r="U121" s="455"/>
      <c r="V121" s="461" t="s">
        <v>0</v>
      </c>
      <c r="W121" s="462"/>
      <c r="X121" s="462"/>
      <c r="Y121" s="462"/>
      <c r="Z121" s="460"/>
      <c r="AA121" s="453"/>
      <c r="AB121" s="455"/>
      <c r="AC121" s="461" t="s">
        <v>0</v>
      </c>
      <c r="AD121" s="462"/>
      <c r="AE121" s="462"/>
      <c r="AF121" s="462"/>
      <c r="AG121" s="460"/>
      <c r="AH121" s="453"/>
      <c r="AI121" s="455"/>
      <c r="AJ121" s="461" t="s">
        <v>0</v>
      </c>
      <c r="AK121" s="462"/>
      <c r="AL121" s="462"/>
      <c r="AM121" s="462"/>
      <c r="AN121" s="460"/>
      <c r="AO121" s="453"/>
      <c r="AP121" s="455"/>
      <c r="AQ121" s="4">
        <f t="shared" si="31"/>
        <v>0</v>
      </c>
    </row>
    <row r="123" spans="1:43" x14ac:dyDescent="0.2">
      <c r="F123" s="2">
        <f>F119-F114</f>
        <v>1876767.0014749998</v>
      </c>
      <c r="M123" s="3">
        <v>37669664.158881456</v>
      </c>
      <c r="T123" s="3">
        <v>164496.35003878365</v>
      </c>
      <c r="AA123" s="3">
        <v>35400860.55780752</v>
      </c>
      <c r="AH123" s="3">
        <v>162762.57727727597</v>
      </c>
      <c r="AO123" s="3">
        <v>6022215.3592592105</v>
      </c>
      <c r="AP123" s="3">
        <f>($F$119-$F$114)/$G$2*L2</f>
        <v>143028.58713609679</v>
      </c>
    </row>
    <row r="124" spans="1:43" x14ac:dyDescent="0.2">
      <c r="M124" s="2">
        <f>M123-M120</f>
        <v>-4.7522634267807007E-3</v>
      </c>
      <c r="N124" s="1">
        <v>885230.99</v>
      </c>
      <c r="T124" s="2">
        <f>T123-T120</f>
        <v>-2.5098352052737027E-3</v>
      </c>
      <c r="U124" s="1">
        <v>3865.64</v>
      </c>
      <c r="AA124" s="2">
        <f>AA123-AA120</f>
        <v>-5.8891549706459045E-3</v>
      </c>
      <c r="AB124" s="1">
        <v>840776.16</v>
      </c>
      <c r="AH124" s="2">
        <f>AH123-AH120</f>
        <v>-2.5098352052737027E-3</v>
      </c>
      <c r="AI124" s="1">
        <v>3865.64</v>
      </c>
      <c r="AO124" s="2">
        <f>AO123-AO120</f>
        <v>0</v>
      </c>
    </row>
    <row r="125" spans="1:43" x14ac:dyDescent="0.2">
      <c r="F125" s="3">
        <v>79419999</v>
      </c>
    </row>
    <row r="126" spans="1:43" x14ac:dyDescent="0.2">
      <c r="F126" s="2">
        <f>F125-F120</f>
        <v>-3.1732320785522461E-3</v>
      </c>
      <c r="M126" s="2"/>
    </row>
  </sheetData>
  <mergeCells count="115">
    <mergeCell ref="AF6:AI6"/>
    <mergeCell ref="Q14:U14"/>
    <mergeCell ref="X14:AB14"/>
    <mergeCell ref="A10:A112"/>
    <mergeCell ref="B10:B30"/>
    <mergeCell ref="C10:G10"/>
    <mergeCell ref="H10:H112"/>
    <mergeCell ref="I10:I30"/>
    <mergeCell ref="J10:N10"/>
    <mergeCell ref="C11:G11"/>
    <mergeCell ref="J11:N11"/>
    <mergeCell ref="C14:G14"/>
    <mergeCell ref="J14:N14"/>
    <mergeCell ref="C29:G29"/>
    <mergeCell ref="J29:N29"/>
    <mergeCell ref="Q29:U29"/>
    <mergeCell ref="X29:AB29"/>
    <mergeCell ref="O10:O112"/>
    <mergeCell ref="P10:P30"/>
    <mergeCell ref="Q10:U10"/>
    <mergeCell ref="V10:V112"/>
    <mergeCell ref="W10:W30"/>
    <mergeCell ref="X10:AB10"/>
    <mergeCell ref="Q11:U11"/>
    <mergeCell ref="X11:AB11"/>
    <mergeCell ref="AE29:AI29"/>
    <mergeCell ref="AL29:AP29"/>
    <mergeCell ref="AC10:AC112"/>
    <mergeCell ref="AD10:AD30"/>
    <mergeCell ref="AE10:AI10"/>
    <mergeCell ref="AJ10:AJ112"/>
    <mergeCell ref="AK10:AK30"/>
    <mergeCell ref="AL10:AP10"/>
    <mergeCell ref="AE11:AI11"/>
    <mergeCell ref="AL11:AP11"/>
    <mergeCell ref="AE14:AI14"/>
    <mergeCell ref="AL14:AP14"/>
    <mergeCell ref="AL32:AP32"/>
    <mergeCell ref="AL53:AP53"/>
    <mergeCell ref="X58:AB58"/>
    <mergeCell ref="AE58:AI58"/>
    <mergeCell ref="AL58:AP58"/>
    <mergeCell ref="X41:AB41"/>
    <mergeCell ref="AE41:AI41"/>
    <mergeCell ref="AL41:AP41"/>
    <mergeCell ref="X53:AB53"/>
    <mergeCell ref="AE53:AI53"/>
    <mergeCell ref="B31:B112"/>
    <mergeCell ref="C31:G31"/>
    <mergeCell ref="I31:I112"/>
    <mergeCell ref="J31:N31"/>
    <mergeCell ref="P31:P112"/>
    <mergeCell ref="Q31:U31"/>
    <mergeCell ref="C32:G32"/>
    <mergeCell ref="J32:N32"/>
    <mergeCell ref="Q32:U32"/>
    <mergeCell ref="C41:G41"/>
    <mergeCell ref="C58:G58"/>
    <mergeCell ref="J58:N58"/>
    <mergeCell ref="Q58:U58"/>
    <mergeCell ref="J41:N41"/>
    <mergeCell ref="Q41:U41"/>
    <mergeCell ref="C53:G53"/>
    <mergeCell ref="J53:N53"/>
    <mergeCell ref="Q53:U53"/>
    <mergeCell ref="W31:W112"/>
    <mergeCell ref="X31:AB31"/>
    <mergeCell ref="AD31:AD112"/>
    <mergeCell ref="AE31:AI31"/>
    <mergeCell ref="AK31:AK112"/>
    <mergeCell ref="AL31:AP31"/>
    <mergeCell ref="X32:AB32"/>
    <mergeCell ref="AE32:AI32"/>
    <mergeCell ref="C90:G90"/>
    <mergeCell ref="J90:N90"/>
    <mergeCell ref="Q90:U90"/>
    <mergeCell ref="X90:AB90"/>
    <mergeCell ref="AE90:AI90"/>
    <mergeCell ref="AL90:AP90"/>
    <mergeCell ref="C66:G66"/>
    <mergeCell ref="J66:N66"/>
    <mergeCell ref="Q66:U66"/>
    <mergeCell ref="X66:AB66"/>
    <mergeCell ref="AE66:AI66"/>
    <mergeCell ref="AL66:AP66"/>
    <mergeCell ref="M120:M121"/>
    <mergeCell ref="N120:N121"/>
    <mergeCell ref="O120:R120"/>
    <mergeCell ref="S120:S121"/>
    <mergeCell ref="T120:T121"/>
    <mergeCell ref="U120:U121"/>
    <mergeCell ref="O121:R121"/>
    <mergeCell ref="A120:D120"/>
    <mergeCell ref="E120:E121"/>
    <mergeCell ref="F120:F121"/>
    <mergeCell ref="G120:G121"/>
    <mergeCell ref="H120:K120"/>
    <mergeCell ref="L120:L121"/>
    <mergeCell ref="A121:D121"/>
    <mergeCell ref="H121:K121"/>
    <mergeCell ref="AH120:AH121"/>
    <mergeCell ref="AI120:AI121"/>
    <mergeCell ref="AJ120:AM120"/>
    <mergeCell ref="AN120:AN121"/>
    <mergeCell ref="AO120:AO121"/>
    <mergeCell ref="AP120:AP121"/>
    <mergeCell ref="AJ121:AM121"/>
    <mergeCell ref="V120:Y120"/>
    <mergeCell ref="Z120:Z121"/>
    <mergeCell ref="AA120:AA121"/>
    <mergeCell ref="AB120:AB121"/>
    <mergeCell ref="AC120:AF120"/>
    <mergeCell ref="AG120:AG121"/>
    <mergeCell ref="V121:Y121"/>
    <mergeCell ref="AC121:AF121"/>
  </mergeCells>
  <pageMargins left="0.78740157480314965" right="0.31496062992125984" top="0.35433070866141736" bottom="0.35433070866141736" header="0.31496062992125984" footer="0.31496062992125984"/>
  <pageSetup paperSize="9" scale="7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8"/>
  <sheetViews>
    <sheetView view="pageBreakPreview" topLeftCell="AJ1" zoomScaleNormal="100" zoomScaleSheetLayoutView="100" workbookViewId="0">
      <pane ySplit="8" topLeftCell="A66" activePane="bottomLeft" state="frozen"/>
      <selection activeCell="B1" sqref="B1"/>
      <selection pane="bottomLeft" activeCell="AL113" sqref="AL113"/>
    </sheetView>
  </sheetViews>
  <sheetFormatPr defaultRowHeight="14.25" outlineLevelRow="1" outlineLevelCol="1" x14ac:dyDescent="0.2"/>
  <cols>
    <col min="1" max="1" width="20.5703125" style="1" hidden="1" customWidth="1" outlineLevel="1"/>
    <col min="2" max="2" width="9.85546875" style="1" hidden="1" customWidth="1" outlineLevel="1"/>
    <col min="3" max="3" width="26.140625" style="1" hidden="1" customWidth="1" outlineLevel="1"/>
    <col min="4" max="4" width="21.85546875" style="1" hidden="1" customWidth="1" outlineLevel="1"/>
    <col min="5" max="6" width="18.5703125" style="1" hidden="1" customWidth="1" outlineLevel="1"/>
    <col min="7" max="7" width="21.5703125" style="1" hidden="1" customWidth="1" outlineLevel="1"/>
    <col min="8" max="8" width="20.5703125" style="1" hidden="1" customWidth="1"/>
    <col min="9" max="9" width="9.85546875" style="1" hidden="1" customWidth="1"/>
    <col min="10" max="10" width="26.140625" style="1" hidden="1" customWidth="1"/>
    <col min="11" max="11" width="21.85546875" style="1" hidden="1" customWidth="1"/>
    <col min="12" max="13" width="18.5703125" style="1" hidden="1" customWidth="1"/>
    <col min="14" max="14" width="21.5703125" style="1" hidden="1" customWidth="1"/>
    <col min="15" max="15" width="17.7109375" style="1" hidden="1" customWidth="1"/>
    <col min="16" max="16" width="17.28515625" style="1" hidden="1" customWidth="1"/>
    <col min="17" max="17" width="29.140625" style="1" hidden="1" customWidth="1"/>
    <col min="18" max="20" width="21.5703125" style="1" hidden="1" customWidth="1"/>
    <col min="21" max="21" width="15.7109375" style="1" hidden="1" customWidth="1"/>
    <col min="22" max="22" width="18.5703125" style="1" hidden="1" customWidth="1"/>
    <col min="23" max="23" width="15.7109375" style="1" hidden="1" customWidth="1"/>
    <col min="24" max="24" width="25.28515625" style="1" hidden="1" customWidth="1"/>
    <col min="25" max="25" width="19" style="1" hidden="1" customWidth="1"/>
    <col min="26" max="26" width="15.7109375" style="1" hidden="1" customWidth="1"/>
    <col min="27" max="27" width="23" style="1" hidden="1" customWidth="1"/>
    <col min="28" max="28" width="13.140625" style="1" hidden="1" customWidth="1"/>
    <col min="29" max="29" width="19.5703125" style="1" hidden="1" customWidth="1"/>
    <col min="30" max="30" width="17.42578125" style="1" hidden="1" customWidth="1"/>
    <col min="31" max="31" width="32.42578125" style="1" hidden="1" customWidth="1"/>
    <col min="32" max="33" width="13.140625" style="1" hidden="1" customWidth="1"/>
    <col min="34" max="34" width="22.42578125" style="1" hidden="1" customWidth="1"/>
    <col min="35" max="35" width="16" style="1" hidden="1" customWidth="1"/>
    <col min="36" max="36" width="15.7109375" style="1" customWidth="1"/>
    <col min="37" max="37" width="16" style="1" customWidth="1"/>
    <col min="38" max="38" width="29.42578125" style="1" customWidth="1"/>
    <col min="39" max="39" width="15.7109375" style="1" customWidth="1"/>
    <col min="40" max="40" width="13.28515625" style="1" customWidth="1"/>
    <col min="41" max="41" width="21" style="1" hidden="1" customWidth="1"/>
    <col min="42" max="42" width="28.7109375" style="1" customWidth="1"/>
    <col min="43" max="43" width="16.5703125" style="1" hidden="1" customWidth="1"/>
    <col min="44" max="16384" width="9.140625" style="1"/>
  </cols>
  <sheetData>
    <row r="1" spans="1:44" ht="45.75" hidden="1" outlineLevel="1" thickBot="1" x14ac:dyDescent="0.3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141"/>
      <c r="S1" s="141"/>
      <c r="AR1" s="140"/>
    </row>
    <row r="2" spans="1:44" ht="15.75" hidden="1" outlineLevel="1" thickBot="1" x14ac:dyDescent="0.3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SUM(AT2:AX2)</f>
        <v>0</v>
      </c>
      <c r="O2" s="141"/>
      <c r="P2" s="141"/>
      <c r="Q2" s="141"/>
      <c r="R2" s="141"/>
      <c r="S2" s="141"/>
      <c r="AR2" s="140"/>
    </row>
    <row r="3" spans="1:44" ht="15" outlineLevel="1" x14ac:dyDescent="0.25">
      <c r="G3" s="141"/>
      <c r="H3" s="141"/>
      <c r="I3" s="141"/>
      <c r="J3" s="141"/>
      <c r="K3" s="141"/>
      <c r="L3" s="141"/>
      <c r="N3" s="141"/>
      <c r="O3" s="141"/>
      <c r="P3" s="141"/>
      <c r="Q3" s="141"/>
      <c r="R3" s="141"/>
      <c r="S3" s="141"/>
      <c r="AM3" s="357" t="s">
        <v>174</v>
      </c>
      <c r="AN3" s="357"/>
      <c r="AO3" s="357"/>
      <c r="AP3" s="357"/>
      <c r="AR3" s="140"/>
    </row>
    <row r="4" spans="1:44" ht="15" outlineLevel="1" x14ac:dyDescent="0.25">
      <c r="G4" s="141"/>
      <c r="H4" s="141"/>
      <c r="I4" s="141"/>
      <c r="J4" s="141"/>
      <c r="K4" s="141"/>
      <c r="L4" s="141"/>
      <c r="N4" s="141"/>
      <c r="O4" s="141"/>
      <c r="P4" s="141"/>
      <c r="Q4" s="141"/>
      <c r="R4" s="141"/>
      <c r="S4" s="141"/>
      <c r="AM4" s="357" t="s">
        <v>166</v>
      </c>
      <c r="AN4" s="357"/>
      <c r="AO4" s="357"/>
      <c r="AP4" s="357"/>
      <c r="AR4" s="140"/>
    </row>
    <row r="5" spans="1:44" ht="15" outlineLevel="1" x14ac:dyDescent="0.25">
      <c r="G5" s="141"/>
      <c r="H5" s="141"/>
      <c r="I5" s="141"/>
      <c r="J5" s="141"/>
      <c r="K5" s="141"/>
      <c r="L5" s="141"/>
      <c r="N5" s="141"/>
      <c r="O5" s="141"/>
      <c r="P5" s="141"/>
      <c r="Q5" s="141"/>
      <c r="R5" s="141"/>
      <c r="S5" s="141"/>
      <c r="AM5" s="357" t="s">
        <v>167</v>
      </c>
      <c r="AN5" s="357"/>
      <c r="AO5" s="357"/>
      <c r="AP5" s="357"/>
      <c r="AR5" s="140"/>
    </row>
    <row r="6" spans="1:44" ht="41.25" customHeight="1" outlineLevel="1" x14ac:dyDescent="0.25">
      <c r="G6" s="141"/>
      <c r="H6" s="141"/>
      <c r="I6" s="141"/>
      <c r="J6" s="141"/>
      <c r="K6" s="141"/>
      <c r="L6" s="141"/>
      <c r="N6" s="141"/>
      <c r="O6" s="141"/>
      <c r="P6" s="141"/>
      <c r="Q6" s="141"/>
      <c r="R6" s="141"/>
      <c r="S6" s="141"/>
      <c r="AM6" s="490" t="s">
        <v>168</v>
      </c>
      <c r="AN6" s="490"/>
      <c r="AO6" s="490"/>
      <c r="AP6" s="490"/>
      <c r="AR6" s="140"/>
    </row>
    <row r="7" spans="1:44" ht="15.75" outlineLevel="1" thickBot="1" x14ac:dyDescent="0.3">
      <c r="G7" s="141"/>
      <c r="H7" s="141"/>
      <c r="I7" s="141"/>
      <c r="J7" s="141"/>
      <c r="K7" s="141"/>
      <c r="L7" s="141"/>
      <c r="N7" s="141"/>
      <c r="O7" s="141"/>
      <c r="P7" s="141"/>
      <c r="Q7" s="141"/>
      <c r="R7" s="141"/>
      <c r="S7" s="141"/>
      <c r="AR7" s="140"/>
    </row>
    <row r="8" spans="1:44" ht="57.75" thickBot="1" x14ac:dyDescent="0.25">
      <c r="A8" s="139" t="s">
        <v>116</v>
      </c>
      <c r="B8" s="138" t="s">
        <v>115</v>
      </c>
      <c r="C8" s="138" t="s">
        <v>114</v>
      </c>
      <c r="D8" s="138" t="s">
        <v>113</v>
      </c>
      <c r="E8" s="138" t="s">
        <v>112</v>
      </c>
      <c r="F8" s="138" t="s">
        <v>111</v>
      </c>
      <c r="G8" s="138" t="s">
        <v>110</v>
      </c>
      <c r="H8" s="139" t="s">
        <v>116</v>
      </c>
      <c r="I8" s="138" t="s">
        <v>115</v>
      </c>
      <c r="J8" s="138" t="s">
        <v>114</v>
      </c>
      <c r="K8" s="138" t="s">
        <v>113</v>
      </c>
      <c r="L8" s="138" t="s">
        <v>112</v>
      </c>
      <c r="M8" s="138" t="s">
        <v>111</v>
      </c>
      <c r="N8" s="138" t="s">
        <v>110</v>
      </c>
      <c r="O8" s="139" t="s">
        <v>116</v>
      </c>
      <c r="P8" s="138" t="s">
        <v>115</v>
      </c>
      <c r="Q8" s="138" t="s">
        <v>114</v>
      </c>
      <c r="R8" s="138" t="s">
        <v>113</v>
      </c>
      <c r="S8" s="138" t="s">
        <v>112</v>
      </c>
      <c r="T8" s="138" t="s">
        <v>111</v>
      </c>
      <c r="U8" s="138" t="s">
        <v>110</v>
      </c>
      <c r="V8" s="139" t="s">
        <v>116</v>
      </c>
      <c r="W8" s="138" t="s">
        <v>115</v>
      </c>
      <c r="X8" s="138" t="s">
        <v>114</v>
      </c>
      <c r="Y8" s="138" t="s">
        <v>113</v>
      </c>
      <c r="Z8" s="138" t="s">
        <v>112</v>
      </c>
      <c r="AA8" s="138" t="s">
        <v>111</v>
      </c>
      <c r="AB8" s="138" t="s">
        <v>110</v>
      </c>
      <c r="AC8" s="139" t="s">
        <v>116</v>
      </c>
      <c r="AD8" s="138" t="s">
        <v>115</v>
      </c>
      <c r="AE8" s="138" t="s">
        <v>114</v>
      </c>
      <c r="AF8" s="138" t="s">
        <v>113</v>
      </c>
      <c r="AG8" s="138" t="s">
        <v>112</v>
      </c>
      <c r="AH8" s="138" t="s">
        <v>111</v>
      </c>
      <c r="AI8" s="138" t="s">
        <v>110</v>
      </c>
      <c r="AJ8" s="139" t="s">
        <v>116</v>
      </c>
      <c r="AK8" s="138" t="s">
        <v>115</v>
      </c>
      <c r="AL8" s="138" t="s">
        <v>114</v>
      </c>
      <c r="AM8" s="138" t="s">
        <v>113</v>
      </c>
      <c r="AN8" s="138" t="s">
        <v>112</v>
      </c>
      <c r="AO8" s="138" t="s">
        <v>111</v>
      </c>
      <c r="AP8" s="138" t="s">
        <v>110</v>
      </c>
    </row>
    <row r="9" spans="1:44" ht="15" thickBot="1" x14ac:dyDescent="0.25">
      <c r="A9" s="137">
        <v>1</v>
      </c>
      <c r="B9" s="136">
        <v>2</v>
      </c>
      <c r="C9" s="136">
        <v>3</v>
      </c>
      <c r="D9" s="136">
        <v>4</v>
      </c>
      <c r="E9" s="136">
        <v>5</v>
      </c>
      <c r="F9" s="136"/>
      <c r="G9" s="136">
        <v>6</v>
      </c>
      <c r="H9" s="137">
        <v>1</v>
      </c>
      <c r="I9" s="136">
        <v>2</v>
      </c>
      <c r="J9" s="136">
        <v>3</v>
      </c>
      <c r="K9" s="136">
        <v>4</v>
      </c>
      <c r="L9" s="136">
        <v>5</v>
      </c>
      <c r="M9" s="136"/>
      <c r="N9" s="136">
        <v>6</v>
      </c>
      <c r="O9" s="137">
        <v>1</v>
      </c>
      <c r="P9" s="136">
        <v>2</v>
      </c>
      <c r="Q9" s="136">
        <v>3</v>
      </c>
      <c r="R9" s="136">
        <v>4</v>
      </c>
      <c r="S9" s="136">
        <v>5</v>
      </c>
      <c r="T9" s="136"/>
      <c r="U9" s="136">
        <v>6</v>
      </c>
      <c r="V9" s="137">
        <v>1</v>
      </c>
      <c r="W9" s="136">
        <v>2</v>
      </c>
      <c r="X9" s="136">
        <v>3</v>
      </c>
      <c r="Y9" s="136">
        <v>4</v>
      </c>
      <c r="Z9" s="136">
        <v>5</v>
      </c>
      <c r="AA9" s="136"/>
      <c r="AB9" s="136">
        <v>6</v>
      </c>
      <c r="AC9" s="137">
        <v>1</v>
      </c>
      <c r="AD9" s="136">
        <v>2</v>
      </c>
      <c r="AE9" s="136">
        <v>3</v>
      </c>
      <c r="AF9" s="136">
        <v>4</v>
      </c>
      <c r="AG9" s="136">
        <v>5</v>
      </c>
      <c r="AH9" s="136"/>
      <c r="AI9" s="136">
        <v>6</v>
      </c>
      <c r="AJ9" s="137">
        <v>1</v>
      </c>
      <c r="AK9" s="136">
        <v>2</v>
      </c>
      <c r="AL9" s="136">
        <v>3</v>
      </c>
      <c r="AM9" s="136">
        <v>4</v>
      </c>
      <c r="AN9" s="136">
        <v>5</v>
      </c>
      <c r="AO9" s="136"/>
      <c r="AP9" s="136">
        <v>6</v>
      </c>
    </row>
    <row r="10" spans="1:44" ht="15" thickBot="1" x14ac:dyDescent="0.25">
      <c r="A10" s="487" t="s">
        <v>109</v>
      </c>
      <c r="B10" s="463" t="s">
        <v>108</v>
      </c>
      <c r="C10" s="466" t="s">
        <v>100</v>
      </c>
      <c r="D10" s="466"/>
      <c r="E10" s="466"/>
      <c r="F10" s="466"/>
      <c r="G10" s="467"/>
      <c r="H10" s="487" t="s">
        <v>109</v>
      </c>
      <c r="I10" s="463" t="s">
        <v>108</v>
      </c>
      <c r="J10" s="466" t="s">
        <v>100</v>
      </c>
      <c r="K10" s="466"/>
      <c r="L10" s="466"/>
      <c r="M10" s="466"/>
      <c r="N10" s="467"/>
      <c r="O10" s="487" t="s">
        <v>107</v>
      </c>
      <c r="P10" s="463" t="s">
        <v>106</v>
      </c>
      <c r="Q10" s="466" t="s">
        <v>100</v>
      </c>
      <c r="R10" s="466"/>
      <c r="S10" s="466"/>
      <c r="T10" s="466"/>
      <c r="U10" s="467"/>
      <c r="V10" s="487" t="s">
        <v>104</v>
      </c>
      <c r="W10" s="463" t="s">
        <v>105</v>
      </c>
      <c r="X10" s="466" t="s">
        <v>100</v>
      </c>
      <c r="Y10" s="466"/>
      <c r="Z10" s="466"/>
      <c r="AA10" s="466"/>
      <c r="AB10" s="467"/>
      <c r="AC10" s="487" t="s">
        <v>104</v>
      </c>
      <c r="AD10" s="463" t="s">
        <v>103</v>
      </c>
      <c r="AE10" s="466" t="s">
        <v>100</v>
      </c>
      <c r="AF10" s="466"/>
      <c r="AG10" s="466"/>
      <c r="AH10" s="466"/>
      <c r="AI10" s="466"/>
      <c r="AJ10" s="511" t="s">
        <v>143</v>
      </c>
      <c r="AK10" s="493" t="s">
        <v>157</v>
      </c>
      <c r="AL10" s="466" t="s">
        <v>100</v>
      </c>
      <c r="AM10" s="466"/>
      <c r="AN10" s="466"/>
      <c r="AO10" s="466"/>
      <c r="AP10" s="467"/>
    </row>
    <row r="11" spans="1:44" ht="15" thickBot="1" x14ac:dyDescent="0.25">
      <c r="A11" s="488"/>
      <c r="B11" s="464"/>
      <c r="C11" s="466" t="s">
        <v>99</v>
      </c>
      <c r="D11" s="468"/>
      <c r="E11" s="466"/>
      <c r="F11" s="466"/>
      <c r="G11" s="467"/>
      <c r="H11" s="488"/>
      <c r="I11" s="464"/>
      <c r="J11" s="466" t="s">
        <v>99</v>
      </c>
      <c r="K11" s="466"/>
      <c r="L11" s="466"/>
      <c r="M11" s="468"/>
      <c r="N11" s="467"/>
      <c r="O11" s="488"/>
      <c r="P11" s="464"/>
      <c r="Q11" s="466" t="s">
        <v>99</v>
      </c>
      <c r="R11" s="466"/>
      <c r="S11" s="466"/>
      <c r="T11" s="468"/>
      <c r="U11" s="467"/>
      <c r="V11" s="488"/>
      <c r="W11" s="464"/>
      <c r="X11" s="466" t="s">
        <v>99</v>
      </c>
      <c r="Y11" s="466"/>
      <c r="Z11" s="466"/>
      <c r="AA11" s="468"/>
      <c r="AB11" s="467"/>
      <c r="AC11" s="488"/>
      <c r="AD11" s="464"/>
      <c r="AE11" s="466" t="s">
        <v>99</v>
      </c>
      <c r="AF11" s="466"/>
      <c r="AG11" s="466"/>
      <c r="AH11" s="468"/>
      <c r="AI11" s="466"/>
      <c r="AJ11" s="512"/>
      <c r="AK11" s="494"/>
      <c r="AL11" s="468" t="s">
        <v>99</v>
      </c>
      <c r="AM11" s="468"/>
      <c r="AN11" s="468"/>
      <c r="AO11" s="468"/>
      <c r="AP11" s="469"/>
    </row>
    <row r="12" spans="1:44" ht="29.25" hidden="1" thickBot="1" x14ac:dyDescent="0.25">
      <c r="A12" s="488"/>
      <c r="B12" s="464"/>
      <c r="C12" s="9" t="s">
        <v>98</v>
      </c>
      <c r="D12" s="31" t="s">
        <v>37</v>
      </c>
      <c r="E12" s="38">
        <v>85.1</v>
      </c>
      <c r="F12" s="135">
        <v>46371030</v>
      </c>
      <c r="G12" s="133">
        <f>E12/F12</f>
        <v>1.8351975360478298E-6</v>
      </c>
      <c r="H12" s="488"/>
      <c r="I12" s="464"/>
      <c r="J12" s="38" t="s">
        <v>98</v>
      </c>
      <c r="K12" s="31" t="s">
        <v>37</v>
      </c>
      <c r="L12" s="132">
        <f>$G$12*M12</f>
        <v>40.139855818743563</v>
      </c>
      <c r="M12" s="20">
        <f>$F$12/$G$2*H2</f>
        <v>21872226.302780639</v>
      </c>
      <c r="N12" s="38"/>
      <c r="O12" s="488"/>
      <c r="P12" s="464"/>
      <c r="Q12" s="38" t="s">
        <v>98</v>
      </c>
      <c r="R12" s="31" t="s">
        <v>37</v>
      </c>
      <c r="S12" s="132">
        <f>$G$12*T12</f>
        <v>0.17528321318228629</v>
      </c>
      <c r="T12" s="20">
        <f>$F$12/$G$2*I2</f>
        <v>95511.905252317199</v>
      </c>
      <c r="U12" s="38"/>
      <c r="V12" s="488"/>
      <c r="W12" s="464"/>
      <c r="X12" s="38" t="s">
        <v>98</v>
      </c>
      <c r="Y12" s="31" t="s">
        <v>37</v>
      </c>
      <c r="Z12" s="132">
        <f>$G$12*AA12</f>
        <v>38.124098867147268</v>
      </c>
      <c r="AA12" s="20">
        <f>$F$12/$G$2*J2</f>
        <v>20773839.39237899</v>
      </c>
      <c r="AB12" s="38"/>
      <c r="AC12" s="488"/>
      <c r="AD12" s="464"/>
      <c r="AE12" s="38" t="s">
        <v>98</v>
      </c>
      <c r="AF12" s="31" t="s">
        <v>37</v>
      </c>
      <c r="AG12" s="131">
        <f>$G$12*AH12</f>
        <v>0.17528321318228629</v>
      </c>
      <c r="AH12" s="20">
        <f>$F$12/$G$2*K2</f>
        <v>95511.905252317199</v>
      </c>
      <c r="AI12" s="328"/>
      <c r="AJ12" s="512"/>
      <c r="AK12" s="494"/>
      <c r="AL12" s="124" t="s">
        <v>98</v>
      </c>
      <c r="AM12" s="31" t="s">
        <v>37</v>
      </c>
      <c r="AN12" s="13">
        <f>$G$12*AO12</f>
        <v>6.485478887744593</v>
      </c>
      <c r="AO12" s="20">
        <f>$F$12/$G$2*L2</f>
        <v>3533940.4943357361</v>
      </c>
      <c r="AP12" s="71"/>
      <c r="AQ12" s="4">
        <f t="shared" ref="AQ12:AQ43" si="0">E12-L12-S12-Z12-AG12-AN12</f>
        <v>0</v>
      </c>
    </row>
    <row r="13" spans="1:44" ht="43.5" thickBot="1" x14ac:dyDescent="0.25">
      <c r="A13" s="488"/>
      <c r="B13" s="464"/>
      <c r="C13" s="9" t="s">
        <v>97</v>
      </c>
      <c r="D13" s="31" t="s">
        <v>37</v>
      </c>
      <c r="E13" s="38">
        <v>85.1</v>
      </c>
      <c r="F13" s="134">
        <f>SUM(F12)</f>
        <v>46371030</v>
      </c>
      <c r="G13" s="133">
        <f>E13/F13</f>
        <v>1.8351975360478298E-6</v>
      </c>
      <c r="H13" s="488"/>
      <c r="I13" s="464"/>
      <c r="J13" s="38" t="s">
        <v>97</v>
      </c>
      <c r="K13" s="31" t="s">
        <v>37</v>
      </c>
      <c r="L13" s="132">
        <f>$G$13*M13</f>
        <v>40.139855818743563</v>
      </c>
      <c r="M13" s="130">
        <f>M12</f>
        <v>21872226.302780639</v>
      </c>
      <c r="N13" s="38"/>
      <c r="O13" s="488"/>
      <c r="P13" s="464"/>
      <c r="Q13" s="38" t="s">
        <v>97</v>
      </c>
      <c r="R13" s="31" t="s">
        <v>37</v>
      </c>
      <c r="S13" s="132">
        <f>$G$13*T13</f>
        <v>0.17528321318228629</v>
      </c>
      <c r="T13" s="130">
        <f>SUM(T12)</f>
        <v>95511.905252317199</v>
      </c>
      <c r="U13" s="38"/>
      <c r="V13" s="488"/>
      <c r="W13" s="464"/>
      <c r="X13" s="38" t="s">
        <v>97</v>
      </c>
      <c r="Y13" s="31" t="s">
        <v>37</v>
      </c>
      <c r="Z13" s="132">
        <f>$G$13*AA13</f>
        <v>38.124098867147268</v>
      </c>
      <c r="AA13" s="130">
        <f>SUM(AA12)</f>
        <v>20773839.39237899</v>
      </c>
      <c r="AB13" s="38"/>
      <c r="AC13" s="488"/>
      <c r="AD13" s="464"/>
      <c r="AE13" s="38" t="s">
        <v>97</v>
      </c>
      <c r="AF13" s="31" t="s">
        <v>37</v>
      </c>
      <c r="AG13" s="131">
        <f>$G$13*AH13</f>
        <v>0.17528321318228629</v>
      </c>
      <c r="AH13" s="130">
        <f>SUM(AH12)</f>
        <v>95511.905252317199</v>
      </c>
      <c r="AI13" s="328"/>
      <c r="AJ13" s="512"/>
      <c r="AK13" s="494"/>
      <c r="AL13" s="254" t="s">
        <v>97</v>
      </c>
      <c r="AM13" s="14" t="s">
        <v>37</v>
      </c>
      <c r="AN13" s="162">
        <f>$G$13*AO13</f>
        <v>6.485478887744593</v>
      </c>
      <c r="AO13" s="256">
        <f>SUM(AO12)</f>
        <v>3533940.4943357361</v>
      </c>
      <c r="AP13" s="219" t="s">
        <v>163</v>
      </c>
      <c r="AQ13" s="4">
        <f t="shared" si="0"/>
        <v>0</v>
      </c>
    </row>
    <row r="14" spans="1:44" ht="15" thickBot="1" x14ac:dyDescent="0.25">
      <c r="A14" s="488"/>
      <c r="B14" s="464"/>
      <c r="C14" s="468" t="s">
        <v>96</v>
      </c>
      <c r="D14" s="471"/>
      <c r="E14" s="468"/>
      <c r="F14" s="468"/>
      <c r="G14" s="469"/>
      <c r="H14" s="488"/>
      <c r="I14" s="464"/>
      <c r="J14" s="468" t="s">
        <v>96</v>
      </c>
      <c r="K14" s="468"/>
      <c r="L14" s="468"/>
      <c r="M14" s="471"/>
      <c r="N14" s="469"/>
      <c r="O14" s="488"/>
      <c r="P14" s="464"/>
      <c r="Q14" s="468" t="s">
        <v>96</v>
      </c>
      <c r="R14" s="468"/>
      <c r="S14" s="468"/>
      <c r="T14" s="471"/>
      <c r="U14" s="469"/>
      <c r="V14" s="488"/>
      <c r="W14" s="464"/>
      <c r="X14" s="468" t="s">
        <v>96</v>
      </c>
      <c r="Y14" s="468"/>
      <c r="Z14" s="468"/>
      <c r="AA14" s="471"/>
      <c r="AB14" s="469"/>
      <c r="AC14" s="488"/>
      <c r="AD14" s="464"/>
      <c r="AE14" s="468" t="s">
        <v>96</v>
      </c>
      <c r="AF14" s="468"/>
      <c r="AG14" s="468"/>
      <c r="AH14" s="471"/>
      <c r="AI14" s="468"/>
      <c r="AJ14" s="512"/>
      <c r="AK14" s="494"/>
      <c r="AL14" s="466" t="s">
        <v>96</v>
      </c>
      <c r="AM14" s="466"/>
      <c r="AN14" s="466"/>
      <c r="AO14" s="466"/>
      <c r="AP14" s="467"/>
      <c r="AQ14" s="4">
        <f t="shared" si="0"/>
        <v>0</v>
      </c>
    </row>
    <row r="15" spans="1:44" ht="94.5" customHeight="1" x14ac:dyDescent="0.2">
      <c r="A15" s="488"/>
      <c r="B15" s="465"/>
      <c r="C15" s="31" t="s">
        <v>95</v>
      </c>
      <c r="D15" s="31" t="s">
        <v>10</v>
      </c>
      <c r="E15" s="129">
        <v>5</v>
      </c>
      <c r="F15" s="32">
        <v>16000</v>
      </c>
      <c r="G15" s="31">
        <f>E15/F15</f>
        <v>3.1250000000000001E-4</v>
      </c>
      <c r="H15" s="488"/>
      <c r="I15" s="465"/>
      <c r="J15" s="31" t="s">
        <v>95</v>
      </c>
      <c r="K15" s="31" t="s">
        <v>10</v>
      </c>
      <c r="L15" s="13">
        <f>$G$15*M15-0.1</f>
        <v>2.2583934088568483</v>
      </c>
      <c r="M15" s="12">
        <f t="shared" ref="M15:M28" si="1">$M$29/$F$29*F15</f>
        <v>7546.8589083419147</v>
      </c>
      <c r="N15" s="31"/>
      <c r="O15" s="472"/>
      <c r="P15" s="465"/>
      <c r="Q15" s="31" t="s">
        <v>95</v>
      </c>
      <c r="R15" s="31" t="s">
        <v>10</v>
      </c>
      <c r="S15" s="13">
        <f>$G$15*T15+0.1</f>
        <v>0.11029866117404738</v>
      </c>
      <c r="T15" s="12">
        <f t="shared" ref="T15:T28" si="2">$T$29/$F$29*F15</f>
        <v>32.955715756951598</v>
      </c>
      <c r="U15" s="124"/>
      <c r="V15" s="488"/>
      <c r="W15" s="465"/>
      <c r="X15" s="31" t="s">
        <v>95</v>
      </c>
      <c r="Y15" s="31" t="s">
        <v>10</v>
      </c>
      <c r="Z15" s="13">
        <f>$G$15*AA15</f>
        <v>2.2399588053553039</v>
      </c>
      <c r="AA15" s="12">
        <f t="shared" ref="AA15:AA28" si="3">$AA$29/$F$29*F15</f>
        <v>7167.868177136972</v>
      </c>
      <c r="AB15" s="31"/>
      <c r="AC15" s="488"/>
      <c r="AD15" s="465"/>
      <c r="AE15" s="31" t="s">
        <v>95</v>
      </c>
      <c r="AF15" s="31" t="s">
        <v>10</v>
      </c>
      <c r="AG15" s="13">
        <f>$G$15*AH15+0.1</f>
        <v>0.11029866117404738</v>
      </c>
      <c r="AH15" s="12">
        <f t="shared" ref="AH15:AH28" si="4">$AH$29/$F$29*F15</f>
        <v>32.955715756951598</v>
      </c>
      <c r="AI15" s="42"/>
      <c r="AJ15" s="512"/>
      <c r="AK15" s="494"/>
      <c r="AL15" s="230" t="s">
        <v>95</v>
      </c>
      <c r="AM15" s="128" t="s">
        <v>10</v>
      </c>
      <c r="AN15" s="243">
        <f>$G$15*AO15</f>
        <v>0.38105046343975285</v>
      </c>
      <c r="AO15" s="244">
        <f t="shared" ref="AO15:AO28" si="5">$AO$29/$F$29*F15</f>
        <v>1219.361483007209</v>
      </c>
      <c r="AP15" s="340" t="s">
        <v>150</v>
      </c>
      <c r="AQ15" s="4">
        <f t="shared" si="0"/>
        <v>-9.99999999999997E-2</v>
      </c>
    </row>
    <row r="16" spans="1:44" ht="15" thickBot="1" x14ac:dyDescent="0.25">
      <c r="A16" s="488"/>
      <c r="B16" s="465"/>
      <c r="C16" s="128" t="s">
        <v>94</v>
      </c>
      <c r="D16" s="31" t="s">
        <v>10</v>
      </c>
      <c r="E16" s="13">
        <v>4</v>
      </c>
      <c r="F16" s="32">
        <v>12000</v>
      </c>
      <c r="G16" s="31">
        <f>E16/F16</f>
        <v>3.3333333333333332E-4</v>
      </c>
      <c r="H16" s="488"/>
      <c r="I16" s="465"/>
      <c r="J16" s="31" t="s">
        <v>94</v>
      </c>
      <c r="K16" s="31" t="s">
        <v>10</v>
      </c>
      <c r="L16" s="13">
        <f>$G$16*M16-0.1</f>
        <v>1.7867147270854786</v>
      </c>
      <c r="M16" s="12">
        <f t="shared" si="1"/>
        <v>5660.1441812564362</v>
      </c>
      <c r="N16" s="31"/>
      <c r="O16" s="472"/>
      <c r="P16" s="465"/>
      <c r="Q16" s="128" t="s">
        <v>94</v>
      </c>
      <c r="R16" s="31" t="s">
        <v>10</v>
      </c>
      <c r="S16" s="13">
        <f>$G$16*T16+0.1</f>
        <v>0.10823892893923791</v>
      </c>
      <c r="T16" s="12">
        <f t="shared" si="2"/>
        <v>24.716786817713697</v>
      </c>
      <c r="U16" s="124"/>
      <c r="V16" s="488"/>
      <c r="W16" s="465"/>
      <c r="X16" s="128" t="s">
        <v>94</v>
      </c>
      <c r="Y16" s="31" t="s">
        <v>10</v>
      </c>
      <c r="Z16" s="13">
        <f>$G$16*AA16</f>
        <v>1.791967044284243</v>
      </c>
      <c r="AA16" s="12">
        <f t="shared" si="3"/>
        <v>5375.9011328527295</v>
      </c>
      <c r="AB16" s="31"/>
      <c r="AC16" s="488"/>
      <c r="AD16" s="465"/>
      <c r="AE16" s="128" t="s">
        <v>94</v>
      </c>
      <c r="AF16" s="38"/>
      <c r="AG16" s="13">
        <f>$G$16*AH16+0.1</f>
        <v>0.10823892893923791</v>
      </c>
      <c r="AH16" s="12">
        <f t="shared" si="4"/>
        <v>24.716786817713697</v>
      </c>
      <c r="AI16" s="42"/>
      <c r="AJ16" s="512"/>
      <c r="AK16" s="494"/>
      <c r="AL16" s="230" t="s">
        <v>94</v>
      </c>
      <c r="AM16" s="31" t="s">
        <v>10</v>
      </c>
      <c r="AN16" s="13">
        <f>$G$16*AO16</f>
        <v>0.30484037075180226</v>
      </c>
      <c r="AO16" s="12">
        <f t="shared" si="5"/>
        <v>914.52111225540682</v>
      </c>
      <c r="AP16" s="71" t="s">
        <v>150</v>
      </c>
      <c r="AQ16" s="4">
        <f t="shared" si="0"/>
        <v>-0.10000000000000009</v>
      </c>
    </row>
    <row r="17" spans="1:43" ht="29.25" thickBot="1" x14ac:dyDescent="0.25">
      <c r="A17" s="488"/>
      <c r="B17" s="465"/>
      <c r="C17" s="31" t="s">
        <v>93</v>
      </c>
      <c r="D17" s="31" t="s">
        <v>10</v>
      </c>
      <c r="E17" s="13">
        <v>4</v>
      </c>
      <c r="F17" s="32">
        <v>5157</v>
      </c>
      <c r="G17" s="31">
        <f>E17/F17</f>
        <v>7.7564475470234633E-4</v>
      </c>
      <c r="H17" s="488"/>
      <c r="I17" s="465"/>
      <c r="J17" s="31" t="s">
        <v>93</v>
      </c>
      <c r="K17" s="31" t="s">
        <v>10</v>
      </c>
      <c r="L17" s="13">
        <f>$G$17*M17-0.1</f>
        <v>1.7867147270854786</v>
      </c>
      <c r="M17" s="12">
        <f t="shared" si="1"/>
        <v>2432.4469618949533</v>
      </c>
      <c r="N17" s="31"/>
      <c r="O17" s="472"/>
      <c r="P17" s="465"/>
      <c r="Q17" s="31" t="s">
        <v>93</v>
      </c>
      <c r="R17" s="31" t="s">
        <v>10</v>
      </c>
      <c r="S17" s="13">
        <f>$G$17*T17+0.1</f>
        <v>0.10823892893923791</v>
      </c>
      <c r="T17" s="12">
        <f t="shared" si="2"/>
        <v>10.622039134912461</v>
      </c>
      <c r="U17" s="124"/>
      <c r="V17" s="488"/>
      <c r="W17" s="465"/>
      <c r="X17" s="31" t="s">
        <v>93</v>
      </c>
      <c r="Y17" s="31" t="s">
        <v>10</v>
      </c>
      <c r="Z17" s="13">
        <f>$G$17*AA17</f>
        <v>1.791967044284243</v>
      </c>
      <c r="AA17" s="12">
        <f t="shared" si="3"/>
        <v>2310.2935118434602</v>
      </c>
      <c r="AB17" s="31"/>
      <c r="AC17" s="488"/>
      <c r="AD17" s="465"/>
      <c r="AE17" s="31" t="s">
        <v>93</v>
      </c>
      <c r="AF17" s="38" t="s">
        <v>10</v>
      </c>
      <c r="AG17" s="13">
        <f>$G$17*AH17+0.1</f>
        <v>0.10823892893923791</v>
      </c>
      <c r="AH17" s="12">
        <f t="shared" si="4"/>
        <v>10.622039134912461</v>
      </c>
      <c r="AI17" s="42"/>
      <c r="AJ17" s="512"/>
      <c r="AK17" s="494"/>
      <c r="AL17" s="124" t="s">
        <v>93</v>
      </c>
      <c r="AM17" s="31" t="s">
        <v>10</v>
      </c>
      <c r="AN17" s="13">
        <f>$G$17*AO17</f>
        <v>0.30484037075180226</v>
      </c>
      <c r="AO17" s="12">
        <f t="shared" si="5"/>
        <v>393.01544799176105</v>
      </c>
      <c r="AP17" s="71" t="s">
        <v>150</v>
      </c>
      <c r="AQ17" s="4">
        <f t="shared" si="0"/>
        <v>-0.10000000000000009</v>
      </c>
    </row>
    <row r="18" spans="1:43" ht="28.5" x14ac:dyDescent="0.2">
      <c r="A18" s="488"/>
      <c r="B18" s="465"/>
      <c r="C18" s="31" t="s">
        <v>92</v>
      </c>
      <c r="D18" s="127" t="s">
        <v>10</v>
      </c>
      <c r="E18" s="13">
        <v>2</v>
      </c>
      <c r="F18" s="32">
        <v>30494</v>
      </c>
      <c r="G18" s="126">
        <f>E18/F18</f>
        <v>6.5586672788089459E-5</v>
      </c>
      <c r="H18" s="488"/>
      <c r="I18" s="465"/>
      <c r="J18" s="31" t="s">
        <v>92</v>
      </c>
      <c r="K18" s="127" t="s">
        <v>10</v>
      </c>
      <c r="L18" s="13">
        <f>$G$18*M18-0.1</f>
        <v>0.84335736354273938</v>
      </c>
      <c r="M18" s="12">
        <f t="shared" si="1"/>
        <v>14383.369721936147</v>
      </c>
      <c r="N18" s="31"/>
      <c r="O18" s="472"/>
      <c r="P18" s="465"/>
      <c r="Q18" s="31" t="s">
        <v>92</v>
      </c>
      <c r="R18" s="127" t="s">
        <v>10</v>
      </c>
      <c r="S18" s="13">
        <f>$G$18*T18+0.1</f>
        <v>0.10411946446961895</v>
      </c>
      <c r="T18" s="12">
        <f t="shared" si="2"/>
        <v>62.809474768280118</v>
      </c>
      <c r="U18" s="124"/>
      <c r="V18" s="488"/>
      <c r="W18" s="465"/>
      <c r="X18" s="31" t="s">
        <v>92</v>
      </c>
      <c r="Y18" s="127" t="s">
        <v>10</v>
      </c>
      <c r="Z18" s="13">
        <f>$G$18*AA18-0.1</f>
        <v>0.79598352214212154</v>
      </c>
      <c r="AA18" s="12">
        <f t="shared" si="3"/>
        <v>13661.060762100928</v>
      </c>
      <c r="AB18" s="31"/>
      <c r="AC18" s="488"/>
      <c r="AD18" s="465"/>
      <c r="AE18" s="31" t="s">
        <v>92</v>
      </c>
      <c r="AF18" s="127" t="s">
        <v>10</v>
      </c>
      <c r="AG18" s="13">
        <f>$G$18*AH18+0.1</f>
        <v>0.10411946446961895</v>
      </c>
      <c r="AH18" s="12">
        <f t="shared" si="4"/>
        <v>62.809474768280118</v>
      </c>
      <c r="AI18" s="42"/>
      <c r="AJ18" s="512"/>
      <c r="AK18" s="494"/>
      <c r="AL18" s="124" t="s">
        <v>92</v>
      </c>
      <c r="AM18" s="31" t="s">
        <v>10</v>
      </c>
      <c r="AN18" s="13">
        <f>$G$18*AO18</f>
        <v>0.15242018537590113</v>
      </c>
      <c r="AO18" s="12">
        <f t="shared" si="5"/>
        <v>2323.9505664263647</v>
      </c>
      <c r="AP18" s="71" t="s">
        <v>150</v>
      </c>
      <c r="AQ18" s="4">
        <f t="shared" si="0"/>
        <v>0</v>
      </c>
    </row>
    <row r="19" spans="1:43" ht="14.25" hidden="1" customHeight="1" x14ac:dyDescent="0.2">
      <c r="A19" s="488"/>
      <c r="B19" s="465"/>
      <c r="C19" s="31"/>
      <c r="D19" s="46"/>
      <c r="E19" s="13"/>
      <c r="F19" s="32"/>
      <c r="G19" s="31"/>
      <c r="H19" s="488"/>
      <c r="I19" s="465"/>
      <c r="J19" s="31"/>
      <c r="K19" s="46"/>
      <c r="L19" s="13"/>
      <c r="M19" s="12">
        <f t="shared" si="1"/>
        <v>0</v>
      </c>
      <c r="N19" s="31"/>
      <c r="O19" s="472"/>
      <c r="P19" s="465"/>
      <c r="Q19" s="31"/>
      <c r="R19" s="46"/>
      <c r="S19" s="13"/>
      <c r="T19" s="12">
        <f t="shared" si="2"/>
        <v>0</v>
      </c>
      <c r="U19" s="124"/>
      <c r="V19" s="488"/>
      <c r="W19" s="465"/>
      <c r="X19" s="31"/>
      <c r="Y19" s="46"/>
      <c r="Z19" s="13"/>
      <c r="AA19" s="12">
        <f t="shared" si="3"/>
        <v>0</v>
      </c>
      <c r="AB19" s="31"/>
      <c r="AC19" s="488"/>
      <c r="AD19" s="465"/>
      <c r="AE19" s="31"/>
      <c r="AF19" s="46"/>
      <c r="AG19" s="13"/>
      <c r="AH19" s="12">
        <f t="shared" si="4"/>
        <v>0</v>
      </c>
      <c r="AI19" s="42"/>
      <c r="AJ19" s="512"/>
      <c r="AK19" s="494"/>
      <c r="AL19" s="124"/>
      <c r="AM19" s="323"/>
      <c r="AN19" s="13"/>
      <c r="AO19" s="12">
        <f t="shared" si="5"/>
        <v>0</v>
      </c>
      <c r="AP19" s="71"/>
      <c r="AQ19" s="4">
        <f t="shared" si="0"/>
        <v>0</v>
      </c>
    </row>
    <row r="20" spans="1:43" ht="42.75" x14ac:dyDescent="0.2">
      <c r="A20" s="488"/>
      <c r="B20" s="465"/>
      <c r="C20" s="31" t="s">
        <v>91</v>
      </c>
      <c r="D20" s="31" t="s">
        <v>89</v>
      </c>
      <c r="E20" s="13">
        <v>54</v>
      </c>
      <c r="F20" s="32">
        <f>82983.67+102410</f>
        <v>185393.66999999998</v>
      </c>
      <c r="G20" s="31">
        <f t="shared" ref="G20:G28" si="6">E20/F20</f>
        <v>2.9127208064870828E-4</v>
      </c>
      <c r="H20" s="488"/>
      <c r="I20" s="465"/>
      <c r="J20" s="31" t="s">
        <v>91</v>
      </c>
      <c r="K20" s="31" t="s">
        <v>89</v>
      </c>
      <c r="L20" s="13">
        <f>$G$20*M20</f>
        <v>25.470648815653963</v>
      </c>
      <c r="M20" s="12">
        <f t="shared" si="1"/>
        <v>87446.241874356318</v>
      </c>
      <c r="N20" s="31"/>
      <c r="O20" s="472"/>
      <c r="P20" s="465"/>
      <c r="Q20" s="31" t="s">
        <v>91</v>
      </c>
      <c r="R20" s="31" t="s">
        <v>89</v>
      </c>
      <c r="S20" s="13">
        <f>$G$20*T20</f>
        <v>0.11122554067971165</v>
      </c>
      <c r="T20" s="12">
        <f t="shared" si="2"/>
        <v>381.86131822863024</v>
      </c>
      <c r="U20" s="124"/>
      <c r="V20" s="488"/>
      <c r="W20" s="465"/>
      <c r="X20" s="31" t="s">
        <v>91</v>
      </c>
      <c r="Y20" s="31" t="s">
        <v>89</v>
      </c>
      <c r="Z20" s="13">
        <f>$G$20*AA20</f>
        <v>24.191555097837281</v>
      </c>
      <c r="AA20" s="12">
        <f t="shared" si="3"/>
        <v>83054.836714727076</v>
      </c>
      <c r="AB20" s="31"/>
      <c r="AC20" s="488"/>
      <c r="AD20" s="465"/>
      <c r="AE20" s="31" t="s">
        <v>91</v>
      </c>
      <c r="AF20" s="31" t="s">
        <v>89</v>
      </c>
      <c r="AG20" s="13">
        <f>$G$20*AH20</f>
        <v>0.11122554067971165</v>
      </c>
      <c r="AH20" s="12">
        <f t="shared" si="4"/>
        <v>381.86131822863024</v>
      </c>
      <c r="AI20" s="42"/>
      <c r="AJ20" s="512"/>
      <c r="AK20" s="494"/>
      <c r="AL20" s="124" t="s">
        <v>91</v>
      </c>
      <c r="AM20" s="31" t="s">
        <v>89</v>
      </c>
      <c r="AN20" s="13">
        <f>$G$20*AO20</f>
        <v>4.1153450051493312</v>
      </c>
      <c r="AO20" s="12">
        <f t="shared" si="5"/>
        <v>14128.868774459319</v>
      </c>
      <c r="AP20" s="71" t="s">
        <v>150</v>
      </c>
      <c r="AQ20" s="4">
        <f t="shared" si="0"/>
        <v>0</v>
      </c>
    </row>
    <row r="21" spans="1:43" ht="42.75" x14ac:dyDescent="0.2">
      <c r="A21" s="488"/>
      <c r="B21" s="465"/>
      <c r="C21" s="31" t="s">
        <v>90</v>
      </c>
      <c r="D21" s="31" t="s">
        <v>89</v>
      </c>
      <c r="E21" s="13">
        <v>68</v>
      </c>
      <c r="F21" s="32">
        <f>628975.88+98974</f>
        <v>727949.88</v>
      </c>
      <c r="G21" s="126">
        <f t="shared" si="6"/>
        <v>9.3413024534051706E-5</v>
      </c>
      <c r="H21" s="488"/>
      <c r="I21" s="465"/>
      <c r="J21" s="31" t="s">
        <v>90</v>
      </c>
      <c r="K21" s="31" t="s">
        <v>89</v>
      </c>
      <c r="L21" s="13">
        <f>$G$21*M21</f>
        <v>32.074150360453132</v>
      </c>
      <c r="M21" s="12">
        <f t="shared" si="1"/>
        <v>343358.43979402672</v>
      </c>
      <c r="N21" s="31"/>
      <c r="O21" s="472"/>
      <c r="P21" s="465"/>
      <c r="Q21" s="31" t="s">
        <v>90</v>
      </c>
      <c r="R21" s="31" t="s">
        <v>89</v>
      </c>
      <c r="S21" s="13">
        <f>$G$21*T21</f>
        <v>0.14006179196704427</v>
      </c>
      <c r="T21" s="12">
        <f t="shared" si="2"/>
        <v>1499.381833161689</v>
      </c>
      <c r="U21" s="124"/>
      <c r="V21" s="488"/>
      <c r="W21" s="465"/>
      <c r="X21" s="31" t="s">
        <v>90</v>
      </c>
      <c r="Y21" s="31" t="s">
        <v>89</v>
      </c>
      <c r="Z21" s="13">
        <f>$G$21*AA21</f>
        <v>30.46343975283213</v>
      </c>
      <c r="AA21" s="12">
        <f t="shared" si="3"/>
        <v>326115.54871266737</v>
      </c>
      <c r="AB21" s="31"/>
      <c r="AC21" s="488"/>
      <c r="AD21" s="465"/>
      <c r="AE21" s="31" t="s">
        <v>90</v>
      </c>
      <c r="AF21" s="31" t="s">
        <v>89</v>
      </c>
      <c r="AG21" s="13">
        <f>$G$21*AH21</f>
        <v>0.14006179196704427</v>
      </c>
      <c r="AH21" s="12">
        <f t="shared" si="4"/>
        <v>1499.381833161689</v>
      </c>
      <c r="AI21" s="42"/>
      <c r="AJ21" s="512"/>
      <c r="AK21" s="494"/>
      <c r="AL21" s="124" t="s">
        <v>90</v>
      </c>
      <c r="AM21" s="31" t="s">
        <v>89</v>
      </c>
      <c r="AN21" s="13">
        <f>$G$21*AO21</f>
        <v>5.1822863027806383</v>
      </c>
      <c r="AO21" s="12">
        <f t="shared" si="5"/>
        <v>55477.127826982491</v>
      </c>
      <c r="AP21" s="71" t="s">
        <v>150</v>
      </c>
      <c r="AQ21" s="4">
        <f t="shared" si="0"/>
        <v>1.3322676295501878E-14</v>
      </c>
    </row>
    <row r="22" spans="1:43" ht="28.5" x14ac:dyDescent="0.2">
      <c r="A22" s="488"/>
      <c r="B22" s="465"/>
      <c r="C22" s="31" t="s">
        <v>88</v>
      </c>
      <c r="D22" s="31" t="s">
        <v>10</v>
      </c>
      <c r="E22" s="13">
        <v>101</v>
      </c>
      <c r="F22" s="32">
        <v>88952.960000000006</v>
      </c>
      <c r="G22" s="31">
        <f t="shared" si="6"/>
        <v>1.1354315809164754E-3</v>
      </c>
      <c r="H22" s="488"/>
      <c r="I22" s="465"/>
      <c r="J22" s="31" t="s">
        <v>88</v>
      </c>
      <c r="K22" s="31" t="s">
        <v>10</v>
      </c>
      <c r="L22" s="13">
        <f>$G$22*M22</f>
        <v>47.639546858908339</v>
      </c>
      <c r="M22" s="12">
        <f t="shared" si="1"/>
        <v>41957.214912461379</v>
      </c>
      <c r="N22" s="31"/>
      <c r="O22" s="472"/>
      <c r="P22" s="465"/>
      <c r="Q22" s="31" t="s">
        <v>88</v>
      </c>
      <c r="R22" s="31" t="s">
        <v>10</v>
      </c>
      <c r="S22" s="13">
        <f>$G$22*T22</f>
        <v>0.20803295571575697</v>
      </c>
      <c r="T22" s="12">
        <f t="shared" si="2"/>
        <v>183.21927909371783</v>
      </c>
      <c r="U22" s="124"/>
      <c r="V22" s="488"/>
      <c r="W22" s="465"/>
      <c r="X22" s="31" t="s">
        <v>88</v>
      </c>
      <c r="Y22" s="31" t="s">
        <v>10</v>
      </c>
      <c r="Z22" s="13">
        <f>$G$22*AA22</f>
        <v>45.247167868177144</v>
      </c>
      <c r="AA22" s="12">
        <f t="shared" si="3"/>
        <v>39850.193202883631</v>
      </c>
      <c r="AB22" s="31"/>
      <c r="AC22" s="488"/>
      <c r="AD22" s="465"/>
      <c r="AE22" s="31" t="s">
        <v>88</v>
      </c>
      <c r="AF22" s="31" t="s">
        <v>10</v>
      </c>
      <c r="AG22" s="13">
        <f>$G$22*AH22</f>
        <v>0.20803295571575697</v>
      </c>
      <c r="AH22" s="12">
        <f t="shared" si="4"/>
        <v>183.21927909371783</v>
      </c>
      <c r="AI22" s="42"/>
      <c r="AJ22" s="512"/>
      <c r="AK22" s="494"/>
      <c r="AL22" s="124" t="s">
        <v>88</v>
      </c>
      <c r="AM22" s="31" t="s">
        <v>10</v>
      </c>
      <c r="AN22" s="13">
        <f>$G$22*AO22</f>
        <v>7.6972193614830084</v>
      </c>
      <c r="AO22" s="12">
        <f t="shared" si="5"/>
        <v>6779.11332646756</v>
      </c>
      <c r="AP22" s="71" t="s">
        <v>150</v>
      </c>
      <c r="AQ22" s="4">
        <f t="shared" si="0"/>
        <v>0</v>
      </c>
    </row>
    <row r="23" spans="1:43" ht="42.75" x14ac:dyDescent="0.2">
      <c r="A23" s="488"/>
      <c r="B23" s="465"/>
      <c r="C23" s="31" t="s">
        <v>87</v>
      </c>
      <c r="D23" s="31" t="s">
        <v>10</v>
      </c>
      <c r="E23" s="13">
        <v>1080</v>
      </c>
      <c r="F23" s="32">
        <v>147996.53078924544</v>
      </c>
      <c r="G23" s="31">
        <f t="shared" si="6"/>
        <v>7.2974683544303797E-3</v>
      </c>
      <c r="H23" s="488"/>
      <c r="I23" s="465"/>
      <c r="J23" s="31" t="s">
        <v>87</v>
      </c>
      <c r="K23" s="31" t="s">
        <v>10</v>
      </c>
      <c r="L23" s="13">
        <f>$G$23*M23</f>
        <v>509.41297631307924</v>
      </c>
      <c r="M23" s="12">
        <f t="shared" si="1"/>
        <v>69806.808549407215</v>
      </c>
      <c r="N23" s="31"/>
      <c r="O23" s="472"/>
      <c r="P23" s="465"/>
      <c r="Q23" s="31" t="s">
        <v>87</v>
      </c>
      <c r="R23" s="31" t="s">
        <v>10</v>
      </c>
      <c r="S23" s="13">
        <f>$G$23*T23</f>
        <v>2.2245108135942324</v>
      </c>
      <c r="T23" s="12">
        <f t="shared" si="2"/>
        <v>304.83322510658172</v>
      </c>
      <c r="U23" s="124"/>
      <c r="V23" s="488"/>
      <c r="W23" s="465"/>
      <c r="X23" s="31" t="s">
        <v>87</v>
      </c>
      <c r="Y23" s="31" t="s">
        <v>10</v>
      </c>
      <c r="Z23" s="13">
        <f>$G$23*AA23</f>
        <v>483.83110195674561</v>
      </c>
      <c r="AA23" s="12">
        <f t="shared" si="3"/>
        <v>66301.22646068153</v>
      </c>
      <c r="AB23" s="31"/>
      <c r="AC23" s="488"/>
      <c r="AD23" s="465"/>
      <c r="AE23" s="31" t="s">
        <v>87</v>
      </c>
      <c r="AF23" s="31" t="s">
        <v>10</v>
      </c>
      <c r="AG23" s="13">
        <f>$G$23*AH23</f>
        <v>2.2245108135942324</v>
      </c>
      <c r="AH23" s="12">
        <f t="shared" si="4"/>
        <v>304.83322510658172</v>
      </c>
      <c r="AI23" s="42"/>
      <c r="AJ23" s="512"/>
      <c r="AK23" s="494"/>
      <c r="AL23" s="124" t="s">
        <v>87</v>
      </c>
      <c r="AM23" s="31" t="s">
        <v>10</v>
      </c>
      <c r="AN23" s="13">
        <f>$G$23*AO23</f>
        <v>82.306900102986603</v>
      </c>
      <c r="AO23" s="12">
        <f t="shared" si="5"/>
        <v>11278.829328943524</v>
      </c>
      <c r="AP23" s="71" t="s">
        <v>150</v>
      </c>
      <c r="AQ23" s="4">
        <f t="shared" si="0"/>
        <v>0</v>
      </c>
    </row>
    <row r="24" spans="1:43" ht="42.75" x14ac:dyDescent="0.2">
      <c r="A24" s="488"/>
      <c r="B24" s="465"/>
      <c r="C24" s="31" t="s">
        <v>86</v>
      </c>
      <c r="D24" s="31" t="s">
        <v>10</v>
      </c>
      <c r="E24" s="125">
        <v>1600</v>
      </c>
      <c r="F24" s="32">
        <f>1285698.67+845000</f>
        <v>2130698.67</v>
      </c>
      <c r="G24" s="31">
        <f t="shared" si="6"/>
        <v>7.509273941584617E-4</v>
      </c>
      <c r="H24" s="488"/>
      <c r="I24" s="465"/>
      <c r="J24" s="31" t="s">
        <v>86</v>
      </c>
      <c r="K24" s="31" t="s">
        <v>10</v>
      </c>
      <c r="L24" s="13">
        <f>$G$24*M24</f>
        <v>754.68589083419147</v>
      </c>
      <c r="M24" s="12">
        <f t="shared" si="1"/>
        <v>1005005.1399176106</v>
      </c>
      <c r="N24" s="31"/>
      <c r="O24" s="472"/>
      <c r="P24" s="465"/>
      <c r="Q24" s="31" t="s">
        <v>86</v>
      </c>
      <c r="R24" s="31" t="s">
        <v>10</v>
      </c>
      <c r="S24" s="13">
        <f>$G$24*T24</f>
        <v>3.2955715756951598</v>
      </c>
      <c r="T24" s="12">
        <f t="shared" si="2"/>
        <v>4388.6687332646752</v>
      </c>
      <c r="U24" s="124"/>
      <c r="V24" s="488"/>
      <c r="W24" s="465"/>
      <c r="X24" s="31" t="s">
        <v>86</v>
      </c>
      <c r="Y24" s="31" t="s">
        <v>10</v>
      </c>
      <c r="Z24" s="13">
        <f>$G$24*AA24</f>
        <v>716.78681771369725</v>
      </c>
      <c r="AA24" s="12">
        <f t="shared" si="3"/>
        <v>954535.44948506693</v>
      </c>
      <c r="AB24" s="31"/>
      <c r="AC24" s="488"/>
      <c r="AD24" s="465"/>
      <c r="AE24" s="31" t="s">
        <v>86</v>
      </c>
      <c r="AF24" s="31" t="s">
        <v>10</v>
      </c>
      <c r="AG24" s="13">
        <f>$G$24*AH24</f>
        <v>3.2955715756951598</v>
      </c>
      <c r="AH24" s="12">
        <f t="shared" si="4"/>
        <v>4388.6687332646752</v>
      </c>
      <c r="AI24" s="42"/>
      <c r="AJ24" s="512"/>
      <c r="AK24" s="494"/>
      <c r="AL24" s="124" t="s">
        <v>86</v>
      </c>
      <c r="AM24" s="31" t="s">
        <v>10</v>
      </c>
      <c r="AN24" s="13">
        <f>$G$24*AO24</f>
        <v>121.9361483007209</v>
      </c>
      <c r="AO24" s="12">
        <f t="shared" si="5"/>
        <v>162380.74313079298</v>
      </c>
      <c r="AP24" s="71" t="s">
        <v>150</v>
      </c>
      <c r="AQ24" s="4">
        <f t="shared" si="0"/>
        <v>0</v>
      </c>
    </row>
    <row r="25" spans="1:43" x14ac:dyDescent="0.2">
      <c r="A25" s="488"/>
      <c r="B25" s="465"/>
      <c r="C25" s="31" t="s">
        <v>85</v>
      </c>
      <c r="D25" s="31" t="s">
        <v>10</v>
      </c>
      <c r="E25" s="13">
        <v>270</v>
      </c>
      <c r="F25" s="32">
        <f>17464+61306.9</f>
        <v>78770.899999999994</v>
      </c>
      <c r="G25" s="31">
        <f t="shared" si="6"/>
        <v>3.4276617380276223E-3</v>
      </c>
      <c r="H25" s="488"/>
      <c r="I25" s="465"/>
      <c r="J25" s="31" t="s">
        <v>85</v>
      </c>
      <c r="K25" s="31" t="s">
        <v>10</v>
      </c>
      <c r="L25" s="13">
        <f>$G$25*M25</f>
        <v>127.35324407826984</v>
      </c>
      <c r="M25" s="12">
        <f t="shared" si="1"/>
        <v>37154.554273944384</v>
      </c>
      <c r="N25" s="31"/>
      <c r="O25" s="472"/>
      <c r="P25" s="465"/>
      <c r="Q25" s="31" t="s">
        <v>85</v>
      </c>
      <c r="R25" s="31" t="s">
        <v>10</v>
      </c>
      <c r="S25" s="13">
        <f>$G$25*T25</f>
        <v>0.55612770339855822</v>
      </c>
      <c r="T25" s="12">
        <f t="shared" si="2"/>
        <v>162.24696189495364</v>
      </c>
      <c r="U25" s="124"/>
      <c r="V25" s="488"/>
      <c r="W25" s="465"/>
      <c r="X25" s="31" t="s">
        <v>85</v>
      </c>
      <c r="Y25" s="31" t="s">
        <v>10</v>
      </c>
      <c r="Z25" s="13">
        <f>$G$25*AA25</f>
        <v>120.9577754891864</v>
      </c>
      <c r="AA25" s="12">
        <f t="shared" si="3"/>
        <v>35288.714212152416</v>
      </c>
      <c r="AB25" s="31"/>
      <c r="AC25" s="488"/>
      <c r="AD25" s="465"/>
      <c r="AE25" s="31" t="s">
        <v>85</v>
      </c>
      <c r="AF25" s="31" t="s">
        <v>10</v>
      </c>
      <c r="AG25" s="13">
        <f>$G$25*AH25</f>
        <v>0.55612770339855822</v>
      </c>
      <c r="AH25" s="12">
        <f t="shared" si="4"/>
        <v>162.24696189495364</v>
      </c>
      <c r="AI25" s="42"/>
      <c r="AJ25" s="512"/>
      <c r="AK25" s="494"/>
      <c r="AL25" s="124" t="s">
        <v>85</v>
      </c>
      <c r="AM25" s="31" t="s">
        <v>10</v>
      </c>
      <c r="AN25" s="13">
        <f>$G$25*AO25</f>
        <v>20.576725025746654</v>
      </c>
      <c r="AO25" s="12">
        <f t="shared" si="5"/>
        <v>6003.1375901132851</v>
      </c>
      <c r="AP25" s="71" t="s">
        <v>150</v>
      </c>
      <c r="AQ25" s="4">
        <f t="shared" si="0"/>
        <v>0</v>
      </c>
    </row>
    <row r="26" spans="1:43" x14ac:dyDescent="0.2">
      <c r="A26" s="488"/>
      <c r="B26" s="465"/>
      <c r="C26" s="31" t="s">
        <v>84</v>
      </c>
      <c r="D26" s="31" t="s">
        <v>10</v>
      </c>
      <c r="E26" s="13">
        <v>89</v>
      </c>
      <c r="F26" s="32">
        <v>169343.68</v>
      </c>
      <c r="G26" s="31">
        <f t="shared" si="6"/>
        <v>5.2555843831904444E-4</v>
      </c>
      <c r="H26" s="488"/>
      <c r="I26" s="465"/>
      <c r="J26" s="31" t="s">
        <v>84</v>
      </c>
      <c r="K26" s="31" t="s">
        <v>10</v>
      </c>
      <c r="L26" s="13">
        <f>$G$26*M26</f>
        <v>41.979402677651898</v>
      </c>
      <c r="M26" s="12">
        <f t="shared" si="1"/>
        <v>79875.803748712657</v>
      </c>
      <c r="N26" s="31"/>
      <c r="O26" s="472"/>
      <c r="P26" s="465"/>
      <c r="Q26" s="31" t="s">
        <v>84</v>
      </c>
      <c r="R26" s="31" t="s">
        <v>10</v>
      </c>
      <c r="S26" s="13">
        <f>$G$26*T26</f>
        <v>0.18331616889804322</v>
      </c>
      <c r="T26" s="12">
        <f t="shared" si="2"/>
        <v>348.80263645726052</v>
      </c>
      <c r="U26" s="124"/>
      <c r="V26" s="488"/>
      <c r="W26" s="465"/>
      <c r="X26" s="31" t="s">
        <v>84</v>
      </c>
      <c r="Y26" s="31" t="s">
        <v>10</v>
      </c>
      <c r="Z26" s="13">
        <f>$G$26*AA26</f>
        <v>39.871266735324404</v>
      </c>
      <c r="AA26" s="12">
        <f t="shared" si="3"/>
        <v>75864.573429454162</v>
      </c>
      <c r="AB26" s="31"/>
      <c r="AC26" s="488"/>
      <c r="AD26" s="465"/>
      <c r="AE26" s="31" t="s">
        <v>84</v>
      </c>
      <c r="AF26" s="31" t="s">
        <v>10</v>
      </c>
      <c r="AG26" s="13">
        <f>$G$26*AH26</f>
        <v>0.18331616889804322</v>
      </c>
      <c r="AH26" s="12">
        <f t="shared" si="4"/>
        <v>348.80263645726052</v>
      </c>
      <c r="AI26" s="42"/>
      <c r="AJ26" s="512"/>
      <c r="AK26" s="494"/>
      <c r="AL26" s="124" t="s">
        <v>84</v>
      </c>
      <c r="AM26" s="31" t="s">
        <v>10</v>
      </c>
      <c r="AN26" s="13">
        <f>$G$26*AO26</f>
        <v>6.7826982492275993</v>
      </c>
      <c r="AO26" s="12">
        <f t="shared" si="5"/>
        <v>12905.697548918639</v>
      </c>
      <c r="AP26" s="71" t="s">
        <v>150</v>
      </c>
      <c r="AQ26" s="4">
        <f t="shared" si="0"/>
        <v>9.7699626167013776E-15</v>
      </c>
    </row>
    <row r="27" spans="1:43" x14ac:dyDescent="0.2">
      <c r="A27" s="488"/>
      <c r="B27" s="465"/>
      <c r="C27" s="31" t="s">
        <v>83</v>
      </c>
      <c r="D27" s="31" t="s">
        <v>10</v>
      </c>
      <c r="E27" s="13">
        <v>80</v>
      </c>
      <c r="F27" s="32">
        <v>20000</v>
      </c>
      <c r="G27" s="31">
        <f t="shared" si="6"/>
        <v>4.0000000000000001E-3</v>
      </c>
      <c r="H27" s="488"/>
      <c r="I27" s="465"/>
      <c r="J27" s="31" t="s">
        <v>83</v>
      </c>
      <c r="K27" s="31" t="s">
        <v>10</v>
      </c>
      <c r="L27" s="13">
        <f>$G$27*M27</f>
        <v>37.734294541709573</v>
      </c>
      <c r="M27" s="12">
        <f t="shared" si="1"/>
        <v>9433.573635427394</v>
      </c>
      <c r="N27" s="31"/>
      <c r="O27" s="472"/>
      <c r="P27" s="465"/>
      <c r="Q27" s="31" t="s">
        <v>83</v>
      </c>
      <c r="R27" s="31" t="s">
        <v>10</v>
      </c>
      <c r="S27" s="13">
        <f>$G$27*T27</f>
        <v>0.16477857878475796</v>
      </c>
      <c r="T27" s="12">
        <f t="shared" si="2"/>
        <v>41.194644696189492</v>
      </c>
      <c r="U27" s="124"/>
      <c r="V27" s="488"/>
      <c r="W27" s="465"/>
      <c r="X27" s="31" t="s">
        <v>83</v>
      </c>
      <c r="Y27" s="31" t="s">
        <v>10</v>
      </c>
      <c r="Z27" s="13">
        <f>$G$27*AA27</f>
        <v>35.839340885684862</v>
      </c>
      <c r="AA27" s="12">
        <f t="shared" si="3"/>
        <v>8959.8352214212155</v>
      </c>
      <c r="AB27" s="31"/>
      <c r="AC27" s="488"/>
      <c r="AD27" s="465"/>
      <c r="AE27" s="31" t="s">
        <v>83</v>
      </c>
      <c r="AF27" s="31" t="s">
        <v>10</v>
      </c>
      <c r="AG27" s="13">
        <f>$G$27*AH27</f>
        <v>0.16477857878475796</v>
      </c>
      <c r="AH27" s="12">
        <f t="shared" si="4"/>
        <v>41.194644696189492</v>
      </c>
      <c r="AI27" s="42"/>
      <c r="AJ27" s="512"/>
      <c r="AK27" s="494"/>
      <c r="AL27" s="124" t="s">
        <v>83</v>
      </c>
      <c r="AM27" s="31" t="s">
        <v>10</v>
      </c>
      <c r="AN27" s="13">
        <f>$G$27*AO27</f>
        <v>6.0968074150360456</v>
      </c>
      <c r="AO27" s="12">
        <f t="shared" si="5"/>
        <v>1524.2018537590113</v>
      </c>
      <c r="AP27" s="71" t="s">
        <v>150</v>
      </c>
      <c r="AQ27" s="4">
        <f t="shared" si="0"/>
        <v>0</v>
      </c>
    </row>
    <row r="28" spans="1:43" ht="15" thickBot="1" x14ac:dyDescent="0.25">
      <c r="A28" s="488"/>
      <c r="B28" s="465"/>
      <c r="C28" s="31" t="s">
        <v>82</v>
      </c>
      <c r="D28" s="31" t="s">
        <v>10</v>
      </c>
      <c r="E28" s="13">
        <v>520</v>
      </c>
      <c r="F28" s="32">
        <v>34776.748999999996</v>
      </c>
      <c r="G28" s="31">
        <f t="shared" si="6"/>
        <v>1.4952518994803109E-2</v>
      </c>
      <c r="H28" s="488"/>
      <c r="I28" s="465"/>
      <c r="J28" s="31" t="s">
        <v>82</v>
      </c>
      <c r="K28" s="31" t="s">
        <v>10</v>
      </c>
      <c r="L28" s="13">
        <f>$G$28*M28</f>
        <v>245.2729145211122</v>
      </c>
      <c r="M28" s="12">
        <f t="shared" si="1"/>
        <v>16403.451124613795</v>
      </c>
      <c r="N28" s="31"/>
      <c r="O28" s="472"/>
      <c r="P28" s="465"/>
      <c r="Q28" s="31" t="s">
        <v>82</v>
      </c>
      <c r="R28" s="31" t="s">
        <v>10</v>
      </c>
      <c r="S28" s="13">
        <f>$G$28*T28</f>
        <v>1.0710607621009269</v>
      </c>
      <c r="T28" s="12">
        <f t="shared" si="2"/>
        <v>71.630790937178162</v>
      </c>
      <c r="U28" s="124"/>
      <c r="V28" s="488"/>
      <c r="W28" s="465"/>
      <c r="X28" s="31" t="s">
        <v>82</v>
      </c>
      <c r="Y28" s="31" t="s">
        <v>10</v>
      </c>
      <c r="Z28" s="13">
        <f>$G$28*AA28</f>
        <v>232.95571575695161</v>
      </c>
      <c r="AA28" s="12">
        <f t="shared" si="3"/>
        <v>15579.69702883625</v>
      </c>
      <c r="AB28" s="31"/>
      <c r="AC28" s="488"/>
      <c r="AD28" s="465"/>
      <c r="AE28" s="31" t="s">
        <v>82</v>
      </c>
      <c r="AF28" s="31" t="s">
        <v>10</v>
      </c>
      <c r="AG28" s="13">
        <f>$G$28*AH28</f>
        <v>1.0710607621009269</v>
      </c>
      <c r="AH28" s="12">
        <f t="shared" si="4"/>
        <v>71.630790937178162</v>
      </c>
      <c r="AI28" s="42"/>
      <c r="AJ28" s="512"/>
      <c r="AK28" s="494"/>
      <c r="AL28" s="124" t="s">
        <v>82</v>
      </c>
      <c r="AM28" s="31" t="s">
        <v>10</v>
      </c>
      <c r="AN28" s="13">
        <f>$G$28*AO28</f>
        <v>39.629248197734292</v>
      </c>
      <c r="AO28" s="12">
        <f t="shared" si="5"/>
        <v>2650.3392646755919</v>
      </c>
      <c r="AP28" s="71" t="s">
        <v>150</v>
      </c>
      <c r="AQ28" s="4">
        <f t="shared" si="0"/>
        <v>1.0658141036401503E-13</v>
      </c>
    </row>
    <row r="29" spans="1:43" ht="15" hidden="1" customHeight="1" thickBot="1" x14ac:dyDescent="0.25">
      <c r="A29" s="488"/>
      <c r="B29" s="464"/>
      <c r="C29" s="111" t="s">
        <v>2</v>
      </c>
      <c r="D29" s="110"/>
      <c r="E29" s="109"/>
      <c r="F29" s="112">
        <f>SUM(F15:F28)</f>
        <v>3647534.0397892455</v>
      </c>
      <c r="G29" s="108">
        <f>SUM(G24:G28)</f>
        <v>2.3656666565308238E-2</v>
      </c>
      <c r="H29" s="488"/>
      <c r="I29" s="464"/>
      <c r="J29" s="111" t="s">
        <v>2</v>
      </c>
      <c r="K29" s="110"/>
      <c r="L29" s="109"/>
      <c r="M29" s="51">
        <f>$F$29/$G$2*H2</f>
        <v>1720464.04760399</v>
      </c>
      <c r="N29" s="108">
        <f>SUM(N24:N28)</f>
        <v>0</v>
      </c>
      <c r="O29" s="488"/>
      <c r="P29" s="464"/>
      <c r="Q29" s="111" t="s">
        <v>2</v>
      </c>
      <c r="R29" s="110"/>
      <c r="S29" s="109"/>
      <c r="T29" s="68">
        <f>$F$29/$G$2*I2</f>
        <v>7512.9434393187339</v>
      </c>
      <c r="U29" s="108">
        <f>SUM(U24:U28)</f>
        <v>0</v>
      </c>
      <c r="V29" s="488"/>
      <c r="W29" s="464"/>
      <c r="X29" s="111" t="s">
        <v>2</v>
      </c>
      <c r="Y29" s="110"/>
      <c r="Z29" s="109"/>
      <c r="AA29" s="51">
        <f>$F$29/$G$2*J2</f>
        <v>1634065.1980518247</v>
      </c>
      <c r="AB29" s="108">
        <f>SUM(AB24:AB28)</f>
        <v>0</v>
      </c>
      <c r="AC29" s="488"/>
      <c r="AD29" s="464"/>
      <c r="AE29" s="111" t="s">
        <v>2</v>
      </c>
      <c r="AF29" s="110"/>
      <c r="AG29" s="109"/>
      <c r="AH29" s="51">
        <f>$F$29/$G$2*K2</f>
        <v>7512.9434393187339</v>
      </c>
      <c r="AI29" s="360">
        <f>SUM(AI24:AI28)</f>
        <v>0</v>
      </c>
      <c r="AJ29" s="512"/>
      <c r="AK29" s="494"/>
      <c r="AL29" s="269" t="s">
        <v>2</v>
      </c>
      <c r="AM29" s="257"/>
      <c r="AN29" s="331"/>
      <c r="AO29" s="386">
        <f>$F$29/$G$2*L2</f>
        <v>277978.90725479316</v>
      </c>
      <c r="AP29" s="258">
        <f>SUM(AP24:AP28)</f>
        <v>0</v>
      </c>
      <c r="AQ29" s="4">
        <f t="shared" si="0"/>
        <v>0</v>
      </c>
    </row>
    <row r="30" spans="1:43" ht="15" thickBot="1" x14ac:dyDescent="0.25">
      <c r="A30" s="488"/>
      <c r="B30" s="464"/>
      <c r="C30" s="466" t="s">
        <v>81</v>
      </c>
      <c r="D30" s="466"/>
      <c r="E30" s="466"/>
      <c r="F30" s="466"/>
      <c r="G30" s="467"/>
      <c r="H30" s="488"/>
      <c r="I30" s="464"/>
      <c r="J30" s="466" t="s">
        <v>81</v>
      </c>
      <c r="K30" s="466"/>
      <c r="L30" s="466"/>
      <c r="M30" s="466"/>
      <c r="N30" s="467"/>
      <c r="O30" s="488"/>
      <c r="P30" s="464"/>
      <c r="Q30" s="466" t="s">
        <v>81</v>
      </c>
      <c r="R30" s="466"/>
      <c r="S30" s="466"/>
      <c r="T30" s="498"/>
      <c r="U30" s="467"/>
      <c r="V30" s="488"/>
      <c r="W30" s="464"/>
      <c r="X30" s="466" t="s">
        <v>81</v>
      </c>
      <c r="Y30" s="466"/>
      <c r="Z30" s="466"/>
      <c r="AA30" s="466"/>
      <c r="AB30" s="467"/>
      <c r="AC30" s="488"/>
      <c r="AD30" s="464"/>
      <c r="AE30" s="466" t="s">
        <v>81</v>
      </c>
      <c r="AF30" s="466"/>
      <c r="AG30" s="466"/>
      <c r="AH30" s="466"/>
      <c r="AI30" s="466"/>
      <c r="AJ30" s="512"/>
      <c r="AK30" s="494"/>
      <c r="AL30" s="514" t="s">
        <v>81</v>
      </c>
      <c r="AM30" s="504"/>
      <c r="AN30" s="504"/>
      <c r="AO30" s="504"/>
      <c r="AP30" s="505"/>
      <c r="AQ30" s="4">
        <f t="shared" si="0"/>
        <v>0</v>
      </c>
    </row>
    <row r="31" spans="1:43" ht="15" thickBot="1" x14ac:dyDescent="0.25">
      <c r="A31" s="488"/>
      <c r="B31" s="464"/>
      <c r="C31" s="38"/>
      <c r="D31" s="38"/>
      <c r="E31" s="38"/>
      <c r="F31" s="38"/>
      <c r="G31" s="38"/>
      <c r="H31" s="488"/>
      <c r="I31" s="464"/>
      <c r="J31" s="38"/>
      <c r="K31" s="38"/>
      <c r="L31" s="38"/>
      <c r="M31" s="38"/>
      <c r="N31" s="38"/>
      <c r="O31" s="488"/>
      <c r="P31" s="464"/>
      <c r="Q31" s="38"/>
      <c r="R31" s="38"/>
      <c r="S31" s="38"/>
      <c r="T31" s="38"/>
      <c r="U31" s="38"/>
      <c r="V31" s="488"/>
      <c r="W31" s="464"/>
      <c r="X31" s="38"/>
      <c r="Y31" s="38"/>
      <c r="Z31" s="38"/>
      <c r="AA31" s="38"/>
      <c r="AB31" s="38"/>
      <c r="AC31" s="488"/>
      <c r="AD31" s="464"/>
      <c r="AE31" s="38"/>
      <c r="AF31" s="38"/>
      <c r="AG31" s="38"/>
      <c r="AH31" s="38"/>
      <c r="AI31" s="328"/>
      <c r="AJ31" s="512"/>
      <c r="AK31" s="494"/>
      <c r="AL31" s="333" t="s">
        <v>140</v>
      </c>
      <c r="AM31" s="334" t="s">
        <v>140</v>
      </c>
      <c r="AN31" s="334" t="s">
        <v>140</v>
      </c>
      <c r="AO31" s="334"/>
      <c r="AP31" s="335" t="s">
        <v>140</v>
      </c>
      <c r="AQ31" s="4" t="e">
        <f t="shared" si="0"/>
        <v>#VALUE!</v>
      </c>
    </row>
    <row r="32" spans="1:43" ht="15" hidden="1" customHeight="1" thickBot="1" x14ac:dyDescent="0.25">
      <c r="A32" s="488"/>
      <c r="B32" s="473"/>
      <c r="C32" s="38"/>
      <c r="D32" s="38"/>
      <c r="E32" s="38"/>
      <c r="F32" s="38"/>
      <c r="G32" s="38"/>
      <c r="H32" s="488"/>
      <c r="I32" s="473"/>
      <c r="J32" s="38"/>
      <c r="K32" s="38"/>
      <c r="L32" s="38"/>
      <c r="M32" s="38"/>
      <c r="N32" s="38"/>
      <c r="O32" s="488"/>
      <c r="P32" s="473"/>
      <c r="Q32" s="38"/>
      <c r="R32" s="38"/>
      <c r="S32" s="38"/>
      <c r="T32" s="38"/>
      <c r="U32" s="38"/>
      <c r="V32" s="488"/>
      <c r="W32" s="473"/>
      <c r="X32" s="38"/>
      <c r="Y32" s="38"/>
      <c r="Z32" s="38"/>
      <c r="AA32" s="38"/>
      <c r="AB32" s="38"/>
      <c r="AC32" s="488"/>
      <c r="AD32" s="473"/>
      <c r="AE32" s="38"/>
      <c r="AF32" s="38"/>
      <c r="AG32" s="38"/>
      <c r="AH32" s="38"/>
      <c r="AI32" s="328"/>
      <c r="AJ32" s="512"/>
      <c r="AK32" s="495"/>
      <c r="AL32" s="253"/>
      <c r="AM32" s="247"/>
      <c r="AN32" s="247"/>
      <c r="AO32" s="247"/>
      <c r="AP32" s="374"/>
      <c r="AQ32" s="4">
        <f t="shared" si="0"/>
        <v>0</v>
      </c>
    </row>
    <row r="33" spans="1:43" ht="15" thickBot="1" x14ac:dyDescent="0.25">
      <c r="A33" s="488"/>
      <c r="B33" s="463"/>
      <c r="C33" s="466" t="s">
        <v>80</v>
      </c>
      <c r="D33" s="466"/>
      <c r="E33" s="466"/>
      <c r="F33" s="466"/>
      <c r="G33" s="467"/>
      <c r="H33" s="488"/>
      <c r="I33" s="463"/>
      <c r="J33" s="466" t="s">
        <v>80</v>
      </c>
      <c r="K33" s="466"/>
      <c r="L33" s="466"/>
      <c r="M33" s="466"/>
      <c r="N33" s="467"/>
      <c r="O33" s="488"/>
      <c r="P33" s="463"/>
      <c r="Q33" s="466" t="s">
        <v>80</v>
      </c>
      <c r="R33" s="466"/>
      <c r="S33" s="466"/>
      <c r="T33" s="466"/>
      <c r="U33" s="467"/>
      <c r="V33" s="488"/>
      <c r="W33" s="463"/>
      <c r="X33" s="466" t="s">
        <v>80</v>
      </c>
      <c r="Y33" s="466"/>
      <c r="Z33" s="466"/>
      <c r="AA33" s="466"/>
      <c r="AB33" s="467"/>
      <c r="AC33" s="488"/>
      <c r="AD33" s="463"/>
      <c r="AE33" s="466" t="s">
        <v>80</v>
      </c>
      <c r="AF33" s="466"/>
      <c r="AG33" s="466"/>
      <c r="AH33" s="466"/>
      <c r="AI33" s="466"/>
      <c r="AJ33" s="512"/>
      <c r="AK33" s="463"/>
      <c r="AL33" s="466" t="s">
        <v>80</v>
      </c>
      <c r="AM33" s="466"/>
      <c r="AN33" s="466"/>
      <c r="AO33" s="466"/>
      <c r="AP33" s="467"/>
      <c r="AQ33" s="4">
        <f t="shared" si="0"/>
        <v>0</v>
      </c>
    </row>
    <row r="34" spans="1:43" x14ac:dyDescent="0.2">
      <c r="A34" s="488"/>
      <c r="B34" s="464"/>
      <c r="C34" s="468" t="s">
        <v>79</v>
      </c>
      <c r="D34" s="468"/>
      <c r="E34" s="468"/>
      <c r="F34" s="468"/>
      <c r="G34" s="469"/>
      <c r="H34" s="488"/>
      <c r="I34" s="464"/>
      <c r="J34" s="468" t="s">
        <v>79</v>
      </c>
      <c r="K34" s="468"/>
      <c r="L34" s="468"/>
      <c r="M34" s="468"/>
      <c r="N34" s="469"/>
      <c r="O34" s="488"/>
      <c r="P34" s="464"/>
      <c r="Q34" s="468" t="s">
        <v>79</v>
      </c>
      <c r="R34" s="468"/>
      <c r="S34" s="468"/>
      <c r="T34" s="468"/>
      <c r="U34" s="469"/>
      <c r="V34" s="488"/>
      <c r="W34" s="464"/>
      <c r="X34" s="468" t="s">
        <v>79</v>
      </c>
      <c r="Y34" s="468"/>
      <c r="Z34" s="468"/>
      <c r="AA34" s="468"/>
      <c r="AB34" s="469"/>
      <c r="AC34" s="488"/>
      <c r="AD34" s="464"/>
      <c r="AE34" s="468" t="s">
        <v>79</v>
      </c>
      <c r="AF34" s="468"/>
      <c r="AG34" s="468"/>
      <c r="AH34" s="468"/>
      <c r="AI34" s="468"/>
      <c r="AJ34" s="512"/>
      <c r="AK34" s="464"/>
      <c r="AL34" s="468" t="s">
        <v>79</v>
      </c>
      <c r="AM34" s="468"/>
      <c r="AN34" s="468"/>
      <c r="AO34" s="468"/>
      <c r="AP34" s="469"/>
      <c r="AQ34" s="4">
        <f t="shared" si="0"/>
        <v>0</v>
      </c>
    </row>
    <row r="35" spans="1:43" x14ac:dyDescent="0.2">
      <c r="A35" s="488"/>
      <c r="B35" s="465"/>
      <c r="C35" s="123" t="s">
        <v>78</v>
      </c>
      <c r="D35" s="122" t="s">
        <v>77</v>
      </c>
      <c r="E35" s="72">
        <v>187000</v>
      </c>
      <c r="F35" s="12">
        <v>1273617.73</v>
      </c>
      <c r="G35" s="94">
        <f>E35/F35</f>
        <v>0.14682584545992461</v>
      </c>
      <c r="H35" s="488"/>
      <c r="I35" s="465"/>
      <c r="J35" s="123" t="s">
        <v>78</v>
      </c>
      <c r="K35" s="122" t="s">
        <v>77</v>
      </c>
      <c r="L35" s="72">
        <f>$G$35*M35</f>
        <v>96330.993987828901</v>
      </c>
      <c r="M35" s="12">
        <f t="shared" ref="M35:M41" si="7">$M$42/$F$42*F35</f>
        <v>656090.17054236529</v>
      </c>
      <c r="N35" s="121"/>
      <c r="O35" s="488"/>
      <c r="P35" s="465"/>
      <c r="Q35" s="123" t="s">
        <v>78</v>
      </c>
      <c r="R35" s="122" t="s">
        <v>77</v>
      </c>
      <c r="S35" s="72">
        <f>$G$35*T35</f>
        <v>420.65936239226596</v>
      </c>
      <c r="T35" s="12">
        <f t="shared" ref="T35:T41" si="8">$T$42/$F$42*F35</f>
        <v>2865.0225787876211</v>
      </c>
      <c r="U35" s="121"/>
      <c r="V35" s="488"/>
      <c r="W35" s="465"/>
      <c r="X35" s="123" t="s">
        <v>78</v>
      </c>
      <c r="Y35" s="122" t="s">
        <v>77</v>
      </c>
      <c r="Z35" s="72">
        <f>$G$35*AA35</f>
        <v>76825.891777602985</v>
      </c>
      <c r="AA35" s="12">
        <f t="shared" ref="AA35:AA41" si="9">$AA$42/$F$42*F35</f>
        <v>523245.0154599807</v>
      </c>
      <c r="AB35" s="121"/>
      <c r="AC35" s="488"/>
      <c r="AD35" s="465"/>
      <c r="AE35" s="123" t="s">
        <v>78</v>
      </c>
      <c r="AF35" s="122" t="s">
        <v>77</v>
      </c>
      <c r="AG35" s="72">
        <f>$G$35*AH35</f>
        <v>353.22249093150799</v>
      </c>
      <c r="AH35" s="12">
        <f t="shared" ref="AH35:AH41" si="10">$AH$42/$F$42*F35</f>
        <v>2405.7242090114055</v>
      </c>
      <c r="AI35" s="361"/>
      <c r="AJ35" s="512"/>
      <c r="AK35" s="464"/>
      <c r="AL35" s="200" t="s">
        <v>78</v>
      </c>
      <c r="AM35" s="122" t="s">
        <v>77</v>
      </c>
      <c r="AN35" s="72">
        <f>$G$35*AO35</f>
        <v>13069.232164465797</v>
      </c>
      <c r="AO35" s="12">
        <f t="shared" ref="AO35:AO41" si="11">$AO$42/$F$42*F35</f>
        <v>89011.795733422012</v>
      </c>
      <c r="AP35" s="345" t="s">
        <v>150</v>
      </c>
      <c r="AQ35" s="4">
        <f t="shared" si="0"/>
        <v>2.1677854238077998E-4</v>
      </c>
    </row>
    <row r="36" spans="1:43" s="21" customFormat="1" x14ac:dyDescent="0.2">
      <c r="A36" s="488"/>
      <c r="B36" s="465"/>
      <c r="C36" s="116" t="s">
        <v>76</v>
      </c>
      <c r="D36" s="115" t="s">
        <v>75</v>
      </c>
      <c r="E36" s="114">
        <v>1400</v>
      </c>
      <c r="F36" s="28">
        <v>1620579.4899839996</v>
      </c>
      <c r="G36" s="94">
        <f>E36/F36</f>
        <v>8.63888509420678E-4</v>
      </c>
      <c r="H36" s="488"/>
      <c r="I36" s="465"/>
      <c r="J36" s="116" t="s">
        <v>76</v>
      </c>
      <c r="K36" s="115" t="s">
        <v>75</v>
      </c>
      <c r="L36" s="114">
        <f>$G$36*M36</f>
        <v>721.19460739551062</v>
      </c>
      <c r="M36" s="28">
        <f t="shared" si="7"/>
        <v>834823.70645159099</v>
      </c>
      <c r="N36" s="113"/>
      <c r="O36" s="488"/>
      <c r="P36" s="465"/>
      <c r="Q36" s="116" t="s">
        <v>76</v>
      </c>
      <c r="R36" s="115" t="s">
        <v>75</v>
      </c>
      <c r="S36" s="114">
        <f>$G$36*T36</f>
        <v>3.1493214296747185</v>
      </c>
      <c r="T36" s="28">
        <f t="shared" si="8"/>
        <v>3645.51836878424</v>
      </c>
      <c r="U36" s="113"/>
      <c r="V36" s="488"/>
      <c r="W36" s="465"/>
      <c r="X36" s="116" t="s">
        <v>76</v>
      </c>
      <c r="Y36" s="115" t="s">
        <v>75</v>
      </c>
      <c r="Z36" s="114">
        <f>$G$36*AA36</f>
        <v>575.16710421734865</v>
      </c>
      <c r="AA36" s="28">
        <f t="shared" si="9"/>
        <v>665788.58029151778</v>
      </c>
      <c r="AB36" s="113"/>
      <c r="AC36" s="488"/>
      <c r="AD36" s="465"/>
      <c r="AE36" s="116" t="s">
        <v>76</v>
      </c>
      <c r="AF36" s="115" t="s">
        <v>75</v>
      </c>
      <c r="AG36" s="114">
        <f>$G$36*AH36</f>
        <v>2.644446456171718</v>
      </c>
      <c r="AH36" s="28">
        <f t="shared" si="10"/>
        <v>3061.0969208805413</v>
      </c>
      <c r="AI36" s="362"/>
      <c r="AJ36" s="512"/>
      <c r="AK36" s="464"/>
      <c r="AL36" s="201" t="s">
        <v>76</v>
      </c>
      <c r="AM36" s="115" t="s">
        <v>75</v>
      </c>
      <c r="AN36" s="114">
        <f>$G$36*AO36</f>
        <v>97.844518878353583</v>
      </c>
      <c r="AO36" s="28">
        <f t="shared" si="11"/>
        <v>113260.58607258004</v>
      </c>
      <c r="AP36" s="350" t="s">
        <v>150</v>
      </c>
      <c r="AQ36" s="4">
        <f t="shared" si="0"/>
        <v>1.6229407009404895E-6</v>
      </c>
    </row>
    <row r="37" spans="1:43" s="21" customFormat="1" ht="42.75" customHeight="1" x14ac:dyDescent="0.2">
      <c r="A37" s="488"/>
      <c r="B37" s="465"/>
      <c r="C37" s="116" t="s">
        <v>74</v>
      </c>
      <c r="D37" s="115" t="s">
        <v>69</v>
      </c>
      <c r="E37" s="114">
        <v>5111.9040000000005</v>
      </c>
      <c r="F37" s="28">
        <v>103802.10996879359</v>
      </c>
      <c r="G37" s="94">
        <f>E37/F37</f>
        <v>4.9246629009148377E-2</v>
      </c>
      <c r="H37" s="488"/>
      <c r="I37" s="465"/>
      <c r="J37" s="116" t="s">
        <v>74</v>
      </c>
      <c r="K37" s="115" t="s">
        <v>69</v>
      </c>
      <c r="L37" s="114">
        <f>$G$37*M37</f>
        <v>2633.3411416596718</v>
      </c>
      <c r="M37" s="28">
        <f t="shared" si="7"/>
        <v>53472.515675549796</v>
      </c>
      <c r="N37" s="113"/>
      <c r="O37" s="488"/>
      <c r="P37" s="465"/>
      <c r="Q37" s="116" t="s">
        <v>74</v>
      </c>
      <c r="R37" s="115" t="s">
        <v>69</v>
      </c>
      <c r="S37" s="114">
        <f>$G$37*T37</f>
        <v>11.49930629545708</v>
      </c>
      <c r="T37" s="28">
        <f t="shared" si="8"/>
        <v>233.50443526440955</v>
      </c>
      <c r="U37" s="113"/>
      <c r="V37" s="488"/>
      <c r="W37" s="465"/>
      <c r="X37" s="116" t="s">
        <v>74</v>
      </c>
      <c r="Y37" s="115" t="s">
        <v>69</v>
      </c>
      <c r="Z37" s="114">
        <f>$G$37*AA37</f>
        <v>2100.1421576550583</v>
      </c>
      <c r="AA37" s="28">
        <f t="shared" si="9"/>
        <v>42645.399287429849</v>
      </c>
      <c r="AB37" s="113"/>
      <c r="AC37" s="488"/>
      <c r="AD37" s="465"/>
      <c r="AE37" s="116" t="s">
        <v>74</v>
      </c>
      <c r="AF37" s="115" t="s">
        <v>69</v>
      </c>
      <c r="AG37" s="114">
        <f>$G$37*AH37</f>
        <v>9.6558260122071662</v>
      </c>
      <c r="AH37" s="28">
        <f t="shared" si="10"/>
        <v>196.07080132151657</v>
      </c>
      <c r="AI37" s="362"/>
      <c r="AJ37" s="512"/>
      <c r="AK37" s="464"/>
      <c r="AL37" s="201" t="s">
        <v>74</v>
      </c>
      <c r="AM37" s="115" t="s">
        <v>69</v>
      </c>
      <c r="AN37" s="114">
        <f>$G$37*AO37</f>
        <v>357.26556245166512</v>
      </c>
      <c r="AO37" s="28">
        <f t="shared" si="11"/>
        <v>7254.6196488961132</v>
      </c>
      <c r="AP37" s="358" t="s">
        <v>148</v>
      </c>
      <c r="AQ37" s="4">
        <f t="shared" si="0"/>
        <v>5.9259407407807885E-6</v>
      </c>
    </row>
    <row r="38" spans="1:43" s="21" customFormat="1" ht="44.25" customHeight="1" x14ac:dyDescent="0.2">
      <c r="A38" s="488"/>
      <c r="B38" s="465"/>
      <c r="C38" s="120" t="s">
        <v>73</v>
      </c>
      <c r="D38" s="115" t="s">
        <v>69</v>
      </c>
      <c r="E38" s="114">
        <v>240</v>
      </c>
      <c r="F38" s="28">
        <v>277813.62685439992</v>
      </c>
      <c r="G38" s="94">
        <f>E38/F38</f>
        <v>8.63888509420678E-4</v>
      </c>
      <c r="H38" s="488"/>
      <c r="I38" s="465"/>
      <c r="J38" s="120" t="s">
        <v>73</v>
      </c>
      <c r="K38" s="115" t="s">
        <v>69</v>
      </c>
      <c r="L38" s="114">
        <f>$G$38*M38</f>
        <v>123.6333612678018</v>
      </c>
      <c r="M38" s="28">
        <f t="shared" si="7"/>
        <v>143112.6353917013</v>
      </c>
      <c r="N38" s="113"/>
      <c r="O38" s="488"/>
      <c r="P38" s="465"/>
      <c r="Q38" s="120" t="s">
        <v>73</v>
      </c>
      <c r="R38" s="115" t="s">
        <v>69</v>
      </c>
      <c r="S38" s="114">
        <f>$G$38*T38</f>
        <v>0.53988367365852308</v>
      </c>
      <c r="T38" s="28">
        <f t="shared" si="8"/>
        <v>624.94600607729819</v>
      </c>
      <c r="U38" s="113"/>
      <c r="V38" s="488"/>
      <c r="W38" s="465"/>
      <c r="X38" s="120" t="s">
        <v>73</v>
      </c>
      <c r="Y38" s="115" t="s">
        <v>69</v>
      </c>
      <c r="Z38" s="114">
        <f>$G$38*AA38</f>
        <v>98.600075008688336</v>
      </c>
      <c r="AA38" s="28">
        <f t="shared" si="9"/>
        <v>114135.1851928316</v>
      </c>
      <c r="AB38" s="113"/>
      <c r="AC38" s="488"/>
      <c r="AD38" s="465"/>
      <c r="AE38" s="120" t="s">
        <v>73</v>
      </c>
      <c r="AF38" s="115" t="s">
        <v>69</v>
      </c>
      <c r="AG38" s="114">
        <f>$G$38*AH38</f>
        <v>0.4533336782008659</v>
      </c>
      <c r="AH38" s="28">
        <f t="shared" si="10"/>
        <v>524.75947215094993</v>
      </c>
      <c r="AI38" s="362"/>
      <c r="AJ38" s="512"/>
      <c r="AK38" s="464"/>
      <c r="AL38" s="202" t="s">
        <v>73</v>
      </c>
      <c r="AM38" s="115" t="s">
        <v>69</v>
      </c>
      <c r="AN38" s="114">
        <f>$G$38*AO38</f>
        <v>16.773346093432039</v>
      </c>
      <c r="AO38" s="28">
        <f t="shared" si="11"/>
        <v>19416.100469585148</v>
      </c>
      <c r="AP38" s="358" t="s">
        <v>148</v>
      </c>
      <c r="AQ38" s="4">
        <f t="shared" si="0"/>
        <v>2.7821843318065476E-7</v>
      </c>
    </row>
    <row r="39" spans="1:43" s="21" customFormat="1" ht="39" customHeight="1" x14ac:dyDescent="0.2">
      <c r="A39" s="488"/>
      <c r="B39" s="465"/>
      <c r="C39" s="116" t="s">
        <v>72</v>
      </c>
      <c r="D39" s="115" t="s">
        <v>69</v>
      </c>
      <c r="E39" s="117"/>
      <c r="F39" s="119"/>
      <c r="G39" s="118"/>
      <c r="H39" s="488"/>
      <c r="I39" s="465"/>
      <c r="J39" s="116" t="s">
        <v>72</v>
      </c>
      <c r="K39" s="115" t="s">
        <v>69</v>
      </c>
      <c r="L39" s="117"/>
      <c r="M39" s="28">
        <f t="shared" si="7"/>
        <v>0</v>
      </c>
      <c r="N39" s="113"/>
      <c r="O39" s="488"/>
      <c r="P39" s="465"/>
      <c r="Q39" s="116" t="s">
        <v>72</v>
      </c>
      <c r="R39" s="115" t="s">
        <v>69</v>
      </c>
      <c r="S39" s="117"/>
      <c r="T39" s="28">
        <f t="shared" si="8"/>
        <v>0</v>
      </c>
      <c r="U39" s="113"/>
      <c r="V39" s="488"/>
      <c r="W39" s="465"/>
      <c r="X39" s="116" t="s">
        <v>72</v>
      </c>
      <c r="Y39" s="115" t="s">
        <v>69</v>
      </c>
      <c r="Z39" s="117"/>
      <c r="AA39" s="28">
        <f t="shared" si="9"/>
        <v>0</v>
      </c>
      <c r="AB39" s="113"/>
      <c r="AC39" s="488"/>
      <c r="AD39" s="465"/>
      <c r="AE39" s="116" t="s">
        <v>72</v>
      </c>
      <c r="AF39" s="115" t="s">
        <v>69</v>
      </c>
      <c r="AG39" s="117"/>
      <c r="AH39" s="28">
        <f t="shared" si="10"/>
        <v>0</v>
      </c>
      <c r="AI39" s="362"/>
      <c r="AJ39" s="512"/>
      <c r="AK39" s="464"/>
      <c r="AL39" s="201" t="s">
        <v>72</v>
      </c>
      <c r="AM39" s="115" t="s">
        <v>69</v>
      </c>
      <c r="AN39" s="117"/>
      <c r="AO39" s="28">
        <f t="shared" si="11"/>
        <v>0</v>
      </c>
      <c r="AP39" s="358" t="s">
        <v>148</v>
      </c>
      <c r="AQ39" s="4">
        <f t="shared" si="0"/>
        <v>0</v>
      </c>
    </row>
    <row r="40" spans="1:43" s="21" customFormat="1" ht="52.5" customHeight="1" x14ac:dyDescent="0.2">
      <c r="A40" s="488"/>
      <c r="B40" s="465"/>
      <c r="C40" s="116" t="s">
        <v>71</v>
      </c>
      <c r="D40" s="115" t="s">
        <v>69</v>
      </c>
      <c r="E40" s="114">
        <v>2633.3999999999996</v>
      </c>
      <c r="F40" s="28">
        <v>53473.710850559983</v>
      </c>
      <c r="G40" s="94">
        <f>E40/F40</f>
        <v>4.9246629009148377E-2</v>
      </c>
      <c r="H40" s="488"/>
      <c r="I40" s="465"/>
      <c r="J40" s="116" t="s">
        <v>71</v>
      </c>
      <c r="K40" s="115" t="s">
        <v>69</v>
      </c>
      <c r="L40" s="114">
        <f>$G$40*M40</f>
        <v>1356.5670565109551</v>
      </c>
      <c r="M40" s="28">
        <f t="shared" si="7"/>
        <v>27546.3942163219</v>
      </c>
      <c r="N40" s="113"/>
      <c r="O40" s="488"/>
      <c r="P40" s="465"/>
      <c r="Q40" s="116" t="s">
        <v>71</v>
      </c>
      <c r="R40" s="115" t="s">
        <v>69</v>
      </c>
      <c r="S40" s="114">
        <f>$G$40*T40</f>
        <v>5.9238736092181439</v>
      </c>
      <c r="T40" s="28">
        <f t="shared" si="8"/>
        <v>120.28993107564148</v>
      </c>
      <c r="U40" s="113"/>
      <c r="V40" s="488"/>
      <c r="W40" s="465"/>
      <c r="X40" s="116" t="s">
        <v>71</v>
      </c>
      <c r="Y40" s="115" t="s">
        <v>69</v>
      </c>
      <c r="Z40" s="114">
        <f>$G$40*AA40</f>
        <v>1081.8893230328326</v>
      </c>
      <c r="AA40" s="28">
        <f t="shared" si="9"/>
        <v>21968.799586908859</v>
      </c>
      <c r="AB40" s="113"/>
      <c r="AC40" s="488"/>
      <c r="AD40" s="465"/>
      <c r="AE40" s="116" t="s">
        <v>71</v>
      </c>
      <c r="AF40" s="115" t="s">
        <v>69</v>
      </c>
      <c r="AG40" s="114">
        <f>$G$40*AH40</f>
        <v>4.9742037840590001</v>
      </c>
      <c r="AH40" s="28">
        <f t="shared" si="10"/>
        <v>101.00597511222463</v>
      </c>
      <c r="AI40" s="362"/>
      <c r="AJ40" s="512"/>
      <c r="AK40" s="464"/>
      <c r="AL40" s="201" t="s">
        <v>71</v>
      </c>
      <c r="AM40" s="115" t="s">
        <v>69</v>
      </c>
      <c r="AN40" s="114">
        <f>$G$40*AO40</f>
        <v>184.04554001018303</v>
      </c>
      <c r="AO40" s="28">
        <f t="shared" si="11"/>
        <v>3737.2210791523116</v>
      </c>
      <c r="AP40" s="358" t="s">
        <v>148</v>
      </c>
      <c r="AQ40" s="4">
        <f t="shared" si="0"/>
        <v>3.052751679888388E-6</v>
      </c>
    </row>
    <row r="41" spans="1:43" s="21" customFormat="1" ht="45.75" customHeight="1" thickBot="1" x14ac:dyDescent="0.25">
      <c r="A41" s="488"/>
      <c r="B41" s="465"/>
      <c r="C41" s="116" t="s">
        <v>70</v>
      </c>
      <c r="D41" s="115" t="s">
        <v>69</v>
      </c>
      <c r="E41" s="114">
        <v>7745.2919999999995</v>
      </c>
      <c r="F41" s="28">
        <v>42734.416251239993</v>
      </c>
      <c r="G41" s="94">
        <f>E41/F41</f>
        <v>0.18124248976433041</v>
      </c>
      <c r="H41" s="488"/>
      <c r="I41" s="465"/>
      <c r="J41" s="116" t="s">
        <v>70</v>
      </c>
      <c r="K41" s="115" t="s">
        <v>69</v>
      </c>
      <c r="L41" s="114">
        <f>$G$41*M41</f>
        <v>3989.9020165025631</v>
      </c>
      <c r="M41" s="28">
        <f t="shared" si="7"/>
        <v>22014.164678992394</v>
      </c>
      <c r="N41" s="113"/>
      <c r="O41" s="488"/>
      <c r="P41" s="465"/>
      <c r="Q41" s="116" t="s">
        <v>70</v>
      </c>
      <c r="R41" s="115" t="s">
        <v>69</v>
      </c>
      <c r="S41" s="114">
        <f>$G$41*T41</f>
        <v>17.423152910491542</v>
      </c>
      <c r="T41" s="28">
        <f t="shared" si="8"/>
        <v>96.131723489049747</v>
      </c>
      <c r="U41" s="113"/>
      <c r="V41" s="488"/>
      <c r="W41" s="465"/>
      <c r="X41" s="116" t="s">
        <v>70</v>
      </c>
      <c r="Y41" s="115" t="s">
        <v>69</v>
      </c>
      <c r="Z41" s="114">
        <f>$G$41*AA41</f>
        <v>3182.0265506841401</v>
      </c>
      <c r="AA41" s="28">
        <f t="shared" si="9"/>
        <v>17556.736032603221</v>
      </c>
      <c r="AB41" s="113"/>
      <c r="AC41" s="488"/>
      <c r="AD41" s="465"/>
      <c r="AE41" s="116" t="s">
        <v>70</v>
      </c>
      <c r="AF41" s="115" t="s">
        <v>69</v>
      </c>
      <c r="AG41" s="114">
        <f>$G$41*AH41</f>
        <v>14.630007129582257</v>
      </c>
      <c r="AH41" s="28">
        <f t="shared" si="10"/>
        <v>80.720625437256203</v>
      </c>
      <c r="AI41" s="362"/>
      <c r="AJ41" s="512"/>
      <c r="AK41" s="464"/>
      <c r="AL41" s="201" t="s">
        <v>70</v>
      </c>
      <c r="AM41" s="115" t="s">
        <v>69</v>
      </c>
      <c r="AN41" s="114">
        <f>$G$41*AO41</f>
        <v>541.3102637945434</v>
      </c>
      <c r="AO41" s="28">
        <f t="shared" si="11"/>
        <v>2986.6631411784792</v>
      </c>
      <c r="AP41" s="358" t="s">
        <v>148</v>
      </c>
      <c r="AQ41" s="4">
        <f t="shared" si="0"/>
        <v>8.9786791477308725E-6</v>
      </c>
    </row>
    <row r="42" spans="1:43" ht="15" hidden="1" customHeight="1" thickBot="1" x14ac:dyDescent="0.25">
      <c r="A42" s="488"/>
      <c r="B42" s="465"/>
      <c r="C42" s="111" t="s">
        <v>2</v>
      </c>
      <c r="D42" s="110"/>
      <c r="E42" s="109"/>
      <c r="F42" s="112">
        <f>SUM(F35:F41)</f>
        <v>3372021.0839089933</v>
      </c>
      <c r="G42" s="108">
        <f>SUM(G29:G41)</f>
        <v>0.45194603682670131</v>
      </c>
      <c r="H42" s="488"/>
      <c r="I42" s="465"/>
      <c r="J42" s="111" t="s">
        <v>2</v>
      </c>
      <c r="K42" s="110"/>
      <c r="L42" s="109"/>
      <c r="M42" s="68">
        <f>1744645/460*458</f>
        <v>1737059.5869565217</v>
      </c>
      <c r="N42" s="108">
        <f>SUM(N29:N41)</f>
        <v>0</v>
      </c>
      <c r="O42" s="488"/>
      <c r="P42" s="465"/>
      <c r="Q42" s="111" t="s">
        <v>2</v>
      </c>
      <c r="R42" s="110"/>
      <c r="S42" s="109"/>
      <c r="T42" s="68">
        <f>1744645/460*2</f>
        <v>7585.413043478261</v>
      </c>
      <c r="U42" s="108">
        <f>SUM(U29:U41)</f>
        <v>0</v>
      </c>
      <c r="V42" s="488"/>
      <c r="W42" s="465"/>
      <c r="X42" s="111" t="s">
        <v>2</v>
      </c>
      <c r="Y42" s="110"/>
      <c r="Z42" s="109"/>
      <c r="AA42" s="68">
        <f>1627376.08/SUM($J$2:$L$2)*J2</f>
        <v>1385339.715851272</v>
      </c>
      <c r="AB42" s="108">
        <f>SUM(AB29:AB41)</f>
        <v>0</v>
      </c>
      <c r="AC42" s="488"/>
      <c r="AD42" s="465"/>
      <c r="AE42" s="111" t="s">
        <v>2</v>
      </c>
      <c r="AF42" s="110"/>
      <c r="AG42" s="109"/>
      <c r="AH42" s="68">
        <f>1627376.08/SUM(J2:L2)*K2</f>
        <v>6369.3780039138946</v>
      </c>
      <c r="AI42" s="360">
        <f>SUM(AI29:AI41)</f>
        <v>0</v>
      </c>
      <c r="AJ42" s="512"/>
      <c r="AK42" s="464"/>
      <c r="AL42" s="252" t="s">
        <v>2</v>
      </c>
      <c r="AM42" s="245"/>
      <c r="AN42" s="330"/>
      <c r="AO42" s="235">
        <f>1627376.08/SUM(J2:L2)*L2</f>
        <v>235666.98614481412</v>
      </c>
      <c r="AP42" s="246">
        <f>SUM(AP29:AP41)</f>
        <v>0</v>
      </c>
      <c r="AQ42" s="4">
        <f t="shared" si="0"/>
        <v>0</v>
      </c>
    </row>
    <row r="43" spans="1:43" ht="30.75" customHeight="1" thickBot="1" x14ac:dyDescent="0.25">
      <c r="A43" s="488"/>
      <c r="B43" s="464"/>
      <c r="C43" s="471" t="s">
        <v>68</v>
      </c>
      <c r="D43" s="471"/>
      <c r="E43" s="471"/>
      <c r="F43" s="471"/>
      <c r="G43" s="472"/>
      <c r="H43" s="488"/>
      <c r="I43" s="464"/>
      <c r="J43" s="471" t="s">
        <v>68</v>
      </c>
      <c r="K43" s="471"/>
      <c r="L43" s="471"/>
      <c r="M43" s="471"/>
      <c r="N43" s="472"/>
      <c r="O43" s="488"/>
      <c r="P43" s="464"/>
      <c r="Q43" s="471" t="s">
        <v>68</v>
      </c>
      <c r="R43" s="471"/>
      <c r="S43" s="471"/>
      <c r="T43" s="471"/>
      <c r="U43" s="472"/>
      <c r="V43" s="488"/>
      <c r="W43" s="464"/>
      <c r="X43" s="471" t="s">
        <v>68</v>
      </c>
      <c r="Y43" s="471"/>
      <c r="Z43" s="471"/>
      <c r="AA43" s="471"/>
      <c r="AB43" s="472"/>
      <c r="AC43" s="488"/>
      <c r="AD43" s="464"/>
      <c r="AE43" s="471" t="s">
        <v>68</v>
      </c>
      <c r="AF43" s="471"/>
      <c r="AG43" s="471"/>
      <c r="AH43" s="471"/>
      <c r="AI43" s="471"/>
      <c r="AJ43" s="512"/>
      <c r="AK43" s="464"/>
      <c r="AL43" s="466" t="s">
        <v>68</v>
      </c>
      <c r="AM43" s="466"/>
      <c r="AN43" s="466"/>
      <c r="AO43" s="466"/>
      <c r="AP43" s="467"/>
      <c r="AQ43" s="4">
        <f t="shared" si="0"/>
        <v>0</v>
      </c>
    </row>
    <row r="44" spans="1:43" ht="64.5" thickBot="1" x14ac:dyDescent="0.25">
      <c r="A44" s="488"/>
      <c r="B44" s="464"/>
      <c r="C44" s="105" t="s">
        <v>67</v>
      </c>
      <c r="D44" s="104" t="s">
        <v>57</v>
      </c>
      <c r="E44" s="103">
        <v>21</v>
      </c>
      <c r="F44" s="107">
        <v>43968</v>
      </c>
      <c r="G44" s="101">
        <f>E44/F44</f>
        <v>4.7762008733624452E-4</v>
      </c>
      <c r="H44" s="488"/>
      <c r="I44" s="464"/>
      <c r="J44" s="105" t="s">
        <v>67</v>
      </c>
      <c r="K44" s="104" t="s">
        <v>57</v>
      </c>
      <c r="L44" s="103">
        <f>$G$44*M44-0.1</f>
        <v>10.71791915931815</v>
      </c>
      <c r="M44" s="20">
        <f t="shared" ref="M44:M53" si="12">$M$54/$F$54*F44</f>
        <v>22649.631885566687</v>
      </c>
      <c r="N44" s="106"/>
      <c r="O44" s="488"/>
      <c r="P44" s="464"/>
      <c r="Q44" s="105" t="s">
        <v>67</v>
      </c>
      <c r="R44" s="104" t="s">
        <v>57</v>
      </c>
      <c r="S44" s="103">
        <f>$G$44*T44+0.1</f>
        <v>0.14723982165641114</v>
      </c>
      <c r="T44" s="20">
        <f t="shared" ref="T44:T53" si="13">$T$54/$F$54*F44</f>
        <v>98.906689456623099</v>
      </c>
      <c r="U44" s="59"/>
      <c r="V44" s="488"/>
      <c r="W44" s="464"/>
      <c r="X44" s="105" t="s">
        <v>67</v>
      </c>
      <c r="Y44" s="104" t="s">
        <v>57</v>
      </c>
      <c r="Z44" s="103">
        <f>$G$44*AA44</f>
        <v>8.6275065426146096</v>
      </c>
      <c r="AA44" s="20">
        <f t="shared" ref="AA44:AA53" si="14">$AA$54/$F$54*F44</f>
        <v>18063.533698365674</v>
      </c>
      <c r="AB44" s="59"/>
      <c r="AC44" s="488"/>
      <c r="AD44" s="464"/>
      <c r="AE44" s="105" t="s">
        <v>67</v>
      </c>
      <c r="AF44" s="104" t="s">
        <v>57</v>
      </c>
      <c r="AG44" s="103">
        <f>$G$44*AH44+0.1</f>
        <v>0.13966669674765339</v>
      </c>
      <c r="AH44" s="20">
        <f t="shared" ref="AH44:AH53" si="15">$AH$54/$F$54*F44</f>
        <v>83.050729647658272</v>
      </c>
      <c r="AI44" s="107"/>
      <c r="AJ44" s="512"/>
      <c r="AK44" s="464"/>
      <c r="AL44" s="259" t="s">
        <v>67</v>
      </c>
      <c r="AM44" s="260" t="s">
        <v>57</v>
      </c>
      <c r="AN44" s="261">
        <f>$G$44*AO44</f>
        <v>1.467667779663175</v>
      </c>
      <c r="AO44" s="262">
        <f t="shared" ref="AO44:AO53" si="16">$AO$54/$F$54*F44</f>
        <v>3072.8769969633563</v>
      </c>
      <c r="AP44" s="240" t="s">
        <v>150</v>
      </c>
      <c r="AQ44" s="4">
        <f t="shared" ref="AQ44:AQ75" si="17">E44-L44-S44-Z44-AG44-AN44</f>
        <v>-9.9999999999999201E-2</v>
      </c>
    </row>
    <row r="45" spans="1:43" ht="51.75" thickBot="1" x14ac:dyDescent="0.25">
      <c r="A45" s="488"/>
      <c r="B45" s="464"/>
      <c r="C45" s="76" t="s">
        <v>66</v>
      </c>
      <c r="D45" s="75" t="s">
        <v>65</v>
      </c>
      <c r="E45" s="93">
        <v>30260</v>
      </c>
      <c r="F45" s="77">
        <v>7000</v>
      </c>
      <c r="G45" s="101">
        <f>E45/F45</f>
        <v>4.322857142857143</v>
      </c>
      <c r="H45" s="488"/>
      <c r="I45" s="464"/>
      <c r="J45" s="76" t="s">
        <v>66</v>
      </c>
      <c r="K45" s="75" t="s">
        <v>65</v>
      </c>
      <c r="L45" s="72">
        <f>$G$45*M45</f>
        <v>15588.10636956987</v>
      </c>
      <c r="M45" s="20">
        <f t="shared" si="12"/>
        <v>3605.9730531060504</v>
      </c>
      <c r="N45" s="91"/>
      <c r="O45" s="488"/>
      <c r="P45" s="464"/>
      <c r="Q45" s="76" t="s">
        <v>66</v>
      </c>
      <c r="R45" s="75" t="s">
        <v>65</v>
      </c>
      <c r="S45" s="72">
        <f>$G$45*T45</f>
        <v>68.070333491571489</v>
      </c>
      <c r="T45" s="20">
        <f t="shared" si="13"/>
        <v>15.746607218803714</v>
      </c>
      <c r="U45" s="53"/>
      <c r="V45" s="488"/>
      <c r="W45" s="464"/>
      <c r="X45" s="76" t="s">
        <v>66</v>
      </c>
      <c r="Y45" s="75" t="s">
        <v>65</v>
      </c>
      <c r="Z45" s="72">
        <f>$G$45*AA45</f>
        <v>12431.826094262766</v>
      </c>
      <c r="AA45" s="20">
        <f t="shared" si="14"/>
        <v>2875.8355142048699</v>
      </c>
      <c r="AB45" s="53"/>
      <c r="AC45" s="488"/>
      <c r="AD45" s="464"/>
      <c r="AE45" s="76" t="s">
        <v>66</v>
      </c>
      <c r="AF45" s="75" t="s">
        <v>65</v>
      </c>
      <c r="AG45" s="72">
        <f>$G$45*AH45</f>
        <v>57.157821123047199</v>
      </c>
      <c r="AH45" s="20">
        <f t="shared" si="15"/>
        <v>13.222232249217791</v>
      </c>
      <c r="AI45" s="77"/>
      <c r="AJ45" s="512"/>
      <c r="AK45" s="464"/>
      <c r="AL45" s="76" t="s">
        <v>66</v>
      </c>
      <c r="AM45" s="75" t="s">
        <v>65</v>
      </c>
      <c r="AN45" s="72">
        <f>$G$45*AO45</f>
        <v>2114.8393815527465</v>
      </c>
      <c r="AO45" s="20">
        <f t="shared" si="16"/>
        <v>489.22259322105833</v>
      </c>
      <c r="AP45" s="53" t="s">
        <v>150</v>
      </c>
      <c r="AQ45" s="4">
        <f t="shared" si="17"/>
        <v>0</v>
      </c>
    </row>
    <row r="46" spans="1:43" s="95" customFormat="1" ht="63.75" x14ac:dyDescent="0.2">
      <c r="A46" s="488"/>
      <c r="B46" s="464"/>
      <c r="C46" s="99" t="s">
        <v>64</v>
      </c>
      <c r="D46" s="98" t="s">
        <v>63</v>
      </c>
      <c r="E46" s="93">
        <v>82355.5</v>
      </c>
      <c r="F46" s="102">
        <v>65000</v>
      </c>
      <c r="G46" s="101">
        <f>E46/F46</f>
        <v>1.2670076923076923</v>
      </c>
      <c r="H46" s="488"/>
      <c r="I46" s="464"/>
      <c r="J46" s="99" t="s">
        <v>64</v>
      </c>
      <c r="K46" s="98" t="s">
        <v>63</v>
      </c>
      <c r="L46" s="72">
        <f>$G$46*M46</f>
        <v>42424.530539296473</v>
      </c>
      <c r="M46" s="97">
        <f t="shared" si="12"/>
        <v>33484.035493127609</v>
      </c>
      <c r="N46" s="100"/>
      <c r="O46" s="488"/>
      <c r="P46" s="464"/>
      <c r="Q46" s="99" t="s">
        <v>64</v>
      </c>
      <c r="R46" s="98" t="s">
        <v>63</v>
      </c>
      <c r="S46" s="72">
        <f>$G$46*T46</f>
        <v>185.2599586868842</v>
      </c>
      <c r="T46" s="97">
        <f t="shared" si="13"/>
        <v>146.21849560317736</v>
      </c>
      <c r="U46" s="96"/>
      <c r="V46" s="488"/>
      <c r="W46" s="464"/>
      <c r="X46" s="99" t="s">
        <v>64</v>
      </c>
      <c r="Y46" s="98" t="s">
        <v>63</v>
      </c>
      <c r="Z46" s="72">
        <f>$G$46*AA46</f>
        <v>33834.41024144274</v>
      </c>
      <c r="AA46" s="97">
        <f t="shared" si="14"/>
        <v>26704.186917616651</v>
      </c>
      <c r="AB46" s="96"/>
      <c r="AC46" s="488"/>
      <c r="AD46" s="464"/>
      <c r="AE46" s="99" t="s">
        <v>64</v>
      </c>
      <c r="AF46" s="98" t="s">
        <v>63</v>
      </c>
      <c r="AG46" s="72">
        <f>$G$46*AH46</f>
        <v>155.56050685720797</v>
      </c>
      <c r="AH46" s="97">
        <f t="shared" si="15"/>
        <v>122.77787088559379</v>
      </c>
      <c r="AI46" s="102"/>
      <c r="AJ46" s="512"/>
      <c r="AK46" s="464"/>
      <c r="AL46" s="99" t="s">
        <v>64</v>
      </c>
      <c r="AM46" s="98" t="s">
        <v>63</v>
      </c>
      <c r="AN46" s="72">
        <f>$G$46*AO46</f>
        <v>5755.7387537166951</v>
      </c>
      <c r="AO46" s="97">
        <f t="shared" si="16"/>
        <v>4542.7812227669701</v>
      </c>
      <c r="AP46" s="96" t="s">
        <v>150</v>
      </c>
      <c r="AQ46" s="4">
        <f t="shared" si="17"/>
        <v>0</v>
      </c>
    </row>
    <row r="47" spans="1:43" ht="25.5" x14ac:dyDescent="0.2">
      <c r="A47" s="488"/>
      <c r="B47" s="464"/>
      <c r="C47" s="76" t="s">
        <v>62</v>
      </c>
      <c r="D47" s="75" t="s">
        <v>61</v>
      </c>
      <c r="E47" s="72">
        <f>146.256+129.888</f>
        <v>276.14400000000001</v>
      </c>
      <c r="F47" s="77">
        <f>109868.36+123713.56</f>
        <v>233581.91999999998</v>
      </c>
      <c r="G47" s="92">
        <f>E47/F47</f>
        <v>1.1822147878568685E-3</v>
      </c>
      <c r="H47" s="488"/>
      <c r="I47" s="464"/>
      <c r="J47" s="76" t="s">
        <v>62</v>
      </c>
      <c r="K47" s="75" t="s">
        <v>61</v>
      </c>
      <c r="L47" s="72">
        <f>$G$47*M47</f>
        <v>142.25254611098816</v>
      </c>
      <c r="M47" s="20">
        <f t="shared" si="12"/>
        <v>120327.15845896759</v>
      </c>
      <c r="N47" s="91"/>
      <c r="O47" s="488"/>
      <c r="P47" s="464"/>
      <c r="Q47" s="76" t="s">
        <v>62</v>
      </c>
      <c r="R47" s="75" t="s">
        <v>61</v>
      </c>
      <c r="S47" s="72">
        <f>$G$47*T47</f>
        <v>0.62119015768990482</v>
      </c>
      <c r="T47" s="20">
        <f t="shared" si="13"/>
        <v>525.44610680771882</v>
      </c>
      <c r="U47" s="53"/>
      <c r="V47" s="488"/>
      <c r="W47" s="464"/>
      <c r="X47" s="76" t="s">
        <v>62</v>
      </c>
      <c r="Y47" s="75" t="s">
        <v>61</v>
      </c>
      <c r="Z47" s="72">
        <f>$G$47*AA47</f>
        <v>113.44924603351281</v>
      </c>
      <c r="AA47" s="20">
        <f t="shared" si="14"/>
        <v>95963.311573165818</v>
      </c>
      <c r="AB47" s="53"/>
      <c r="AC47" s="488"/>
      <c r="AD47" s="464"/>
      <c r="AE47" s="76" t="s">
        <v>62</v>
      </c>
      <c r="AF47" s="75" t="s">
        <v>61</v>
      </c>
      <c r="AG47" s="72">
        <f>$G$47*AH47</f>
        <v>0.52160572888971402</v>
      </c>
      <c r="AH47" s="20">
        <f t="shared" si="15"/>
        <v>441.21062792260142</v>
      </c>
      <c r="AI47" s="77"/>
      <c r="AJ47" s="512"/>
      <c r="AK47" s="464"/>
      <c r="AL47" s="76" t="s">
        <v>62</v>
      </c>
      <c r="AM47" s="75" t="s">
        <v>61</v>
      </c>
      <c r="AN47" s="72">
        <f>$G$47*AO47</f>
        <v>19.299411968919422</v>
      </c>
      <c r="AO47" s="20">
        <f t="shared" si="16"/>
        <v>16324.793233136255</v>
      </c>
      <c r="AP47" s="53" t="s">
        <v>150</v>
      </c>
      <c r="AQ47" s="4">
        <f t="shared" si="17"/>
        <v>0</v>
      </c>
    </row>
    <row r="48" spans="1:43" hidden="1" x14ac:dyDescent="0.2">
      <c r="A48" s="488"/>
      <c r="B48" s="464"/>
      <c r="C48" s="76" t="s">
        <v>60</v>
      </c>
      <c r="D48" s="75" t="s">
        <v>59</v>
      </c>
      <c r="E48" s="72"/>
      <c r="F48" s="77">
        <f>13663.3+19504.1</f>
        <v>33167.399999999994</v>
      </c>
      <c r="G48" s="92"/>
      <c r="H48" s="488"/>
      <c r="I48" s="464"/>
      <c r="J48" s="76" t="s">
        <v>60</v>
      </c>
      <c r="K48" s="75" t="s">
        <v>59</v>
      </c>
      <c r="L48" s="72"/>
      <c r="M48" s="20">
        <f t="shared" si="12"/>
        <v>17085.821520227084</v>
      </c>
      <c r="N48" s="91"/>
      <c r="O48" s="488"/>
      <c r="P48" s="464"/>
      <c r="Q48" s="76" t="s">
        <v>60</v>
      </c>
      <c r="R48" s="75" t="s">
        <v>59</v>
      </c>
      <c r="S48" s="72"/>
      <c r="T48" s="20">
        <f t="shared" si="13"/>
        <v>74.61057432413574</v>
      </c>
      <c r="U48" s="53"/>
      <c r="V48" s="488"/>
      <c r="W48" s="464"/>
      <c r="X48" s="76" t="s">
        <v>60</v>
      </c>
      <c r="Y48" s="75" t="s">
        <v>59</v>
      </c>
      <c r="Z48" s="72"/>
      <c r="AA48" s="20">
        <f t="shared" si="14"/>
        <v>13626.283833405512</v>
      </c>
      <c r="AB48" s="53"/>
      <c r="AC48" s="488"/>
      <c r="AD48" s="464"/>
      <c r="AE48" s="76" t="s">
        <v>60</v>
      </c>
      <c r="AF48" s="75" t="s">
        <v>59</v>
      </c>
      <c r="AG48" s="72"/>
      <c r="AH48" s="20">
        <f t="shared" si="15"/>
        <v>62.649580843243726</v>
      </c>
      <c r="AI48" s="77"/>
      <c r="AJ48" s="512"/>
      <c r="AK48" s="464"/>
      <c r="AL48" s="76" t="s">
        <v>60</v>
      </c>
      <c r="AM48" s="75" t="s">
        <v>59</v>
      </c>
      <c r="AN48" s="72"/>
      <c r="AO48" s="20">
        <f t="shared" si="16"/>
        <v>2318.0344912000182</v>
      </c>
      <c r="AP48" s="53"/>
      <c r="AQ48" s="4">
        <f t="shared" si="17"/>
        <v>0</v>
      </c>
    </row>
    <row r="49" spans="1:43" ht="51" x14ac:dyDescent="0.2">
      <c r="A49" s="488"/>
      <c r="B49" s="464"/>
      <c r="C49" s="76" t="s">
        <v>58</v>
      </c>
      <c r="D49" s="75" t="s">
        <v>57</v>
      </c>
      <c r="E49" s="72">
        <v>22</v>
      </c>
      <c r="F49" s="77">
        <v>150144</v>
      </c>
      <c r="G49" s="92">
        <f>E49/F49</f>
        <v>1.4652600170502985E-4</v>
      </c>
      <c r="H49" s="488"/>
      <c r="I49" s="464"/>
      <c r="J49" s="76" t="s">
        <v>58</v>
      </c>
      <c r="K49" s="75" t="s">
        <v>57</v>
      </c>
      <c r="L49" s="72">
        <f>$G$49*M49-0.1</f>
        <v>11.23305816690473</v>
      </c>
      <c r="M49" s="20">
        <f t="shared" si="12"/>
        <v>77345.031155079254</v>
      </c>
      <c r="N49" s="91"/>
      <c r="O49" s="488"/>
      <c r="P49" s="464"/>
      <c r="Q49" s="76" t="s">
        <v>58</v>
      </c>
      <c r="R49" s="75" t="s">
        <v>57</v>
      </c>
      <c r="S49" s="72">
        <f>$G$49*T49+0.1</f>
        <v>0.14948933697338312</v>
      </c>
      <c r="T49" s="20">
        <f t="shared" si="13"/>
        <v>337.75122775143785</v>
      </c>
      <c r="U49" s="53"/>
      <c r="V49" s="488"/>
      <c r="W49" s="464"/>
      <c r="X49" s="76" t="s">
        <v>58</v>
      </c>
      <c r="Y49" s="75" t="s">
        <v>57</v>
      </c>
      <c r="Z49" s="72">
        <f>$G$49*AA49-0.1</f>
        <v>8.9383401875010211</v>
      </c>
      <c r="AA49" s="20">
        <f t="shared" si="14"/>
        <v>61684.206777825144</v>
      </c>
      <c r="AB49" s="53"/>
      <c r="AC49" s="488"/>
      <c r="AD49" s="464"/>
      <c r="AE49" s="76" t="s">
        <v>58</v>
      </c>
      <c r="AF49" s="75" t="s">
        <v>57</v>
      </c>
      <c r="AG49" s="72">
        <f>$G$49*AH49+0.1</f>
        <v>0.1415555870689702</v>
      </c>
      <c r="AH49" s="20">
        <f t="shared" si="15"/>
        <v>283.6055484037937</v>
      </c>
      <c r="AI49" s="77"/>
      <c r="AJ49" s="512"/>
      <c r="AK49" s="464"/>
      <c r="AL49" s="76" t="s">
        <v>58</v>
      </c>
      <c r="AM49" s="75" t="s">
        <v>57</v>
      </c>
      <c r="AN49" s="72">
        <f>$G$49*AO49</f>
        <v>1.5375567215518977</v>
      </c>
      <c r="AO49" s="20">
        <f t="shared" si="16"/>
        <v>10493.405290940369</v>
      </c>
      <c r="AP49" s="53" t="s">
        <v>150</v>
      </c>
      <c r="AQ49" s="4">
        <f t="shared" si="17"/>
        <v>-2.2204460492503131E-15</v>
      </c>
    </row>
    <row r="50" spans="1:43" ht="25.5" x14ac:dyDescent="0.2">
      <c r="A50" s="488"/>
      <c r="B50" s="464"/>
      <c r="C50" s="76" t="s">
        <v>56</v>
      </c>
      <c r="D50" s="75" t="s">
        <v>12</v>
      </c>
      <c r="E50" s="72">
        <v>1</v>
      </c>
      <c r="F50" s="77">
        <v>40000</v>
      </c>
      <c r="G50" s="92">
        <f>E50/F50</f>
        <v>2.5000000000000001E-5</v>
      </c>
      <c r="H50" s="488"/>
      <c r="I50" s="464"/>
      <c r="J50" s="76" t="s">
        <v>56</v>
      </c>
      <c r="K50" s="75" t="s">
        <v>12</v>
      </c>
      <c r="L50" s="72">
        <f>$G$50*M50-0.1</f>
        <v>0.41513900758657873</v>
      </c>
      <c r="M50" s="20">
        <f t="shared" si="12"/>
        <v>20605.560303463146</v>
      </c>
      <c r="N50" s="91"/>
      <c r="O50" s="488"/>
      <c r="P50" s="464"/>
      <c r="Q50" s="76" t="s">
        <v>56</v>
      </c>
      <c r="R50" s="75" t="s">
        <v>12</v>
      </c>
      <c r="S50" s="72">
        <f>$G$50*T50+0.1</f>
        <v>0.10224951531697196</v>
      </c>
      <c r="T50" s="20">
        <f t="shared" si="13"/>
        <v>89.980612678878373</v>
      </c>
      <c r="U50" s="53"/>
      <c r="V50" s="488"/>
      <c r="W50" s="464"/>
      <c r="X50" s="76" t="s">
        <v>56</v>
      </c>
      <c r="Y50" s="75" t="s">
        <v>12</v>
      </c>
      <c r="Z50" s="72">
        <f>$G$50*AA50-0.1</f>
        <v>0.31083364488640997</v>
      </c>
      <c r="AA50" s="20">
        <f t="shared" si="14"/>
        <v>16433.3457954564</v>
      </c>
      <c r="AB50" s="53"/>
      <c r="AC50" s="488"/>
      <c r="AD50" s="464"/>
      <c r="AE50" s="76" t="s">
        <v>56</v>
      </c>
      <c r="AF50" s="75" t="s">
        <v>12</v>
      </c>
      <c r="AG50" s="72">
        <f>$G$50*AH50+0.1</f>
        <v>0.10188889032131683</v>
      </c>
      <c r="AH50" s="20">
        <f t="shared" si="15"/>
        <v>75.555612852673093</v>
      </c>
      <c r="AI50" s="77"/>
      <c r="AJ50" s="512"/>
      <c r="AK50" s="464"/>
      <c r="AL50" s="76" t="s">
        <v>56</v>
      </c>
      <c r="AM50" s="75" t="s">
        <v>12</v>
      </c>
      <c r="AN50" s="72">
        <f>$G$50*AO50</f>
        <v>6.9888941888722619E-2</v>
      </c>
      <c r="AO50" s="20">
        <f t="shared" si="16"/>
        <v>2795.5576755489046</v>
      </c>
      <c r="AP50" s="53" t="s">
        <v>150</v>
      </c>
      <c r="AQ50" s="4">
        <f t="shared" si="17"/>
        <v>-1.1102230246251565E-16</v>
      </c>
    </row>
    <row r="51" spans="1:43" ht="14.25" hidden="1" customHeight="1" x14ac:dyDescent="0.2">
      <c r="A51" s="488"/>
      <c r="B51" s="464"/>
      <c r="C51" s="76"/>
      <c r="D51" s="75"/>
      <c r="E51" s="72"/>
      <c r="F51" s="77"/>
      <c r="G51" s="92"/>
      <c r="H51" s="488"/>
      <c r="I51" s="464"/>
      <c r="J51" s="76"/>
      <c r="K51" s="75"/>
      <c r="L51" s="94"/>
      <c r="M51" s="20">
        <f t="shared" si="12"/>
        <v>0</v>
      </c>
      <c r="N51" s="91"/>
      <c r="O51" s="488"/>
      <c r="P51" s="464"/>
      <c r="Q51" s="76"/>
      <c r="R51" s="75"/>
      <c r="S51" s="72"/>
      <c r="T51" s="20">
        <f t="shared" si="13"/>
        <v>0</v>
      </c>
      <c r="U51" s="53"/>
      <c r="V51" s="488"/>
      <c r="W51" s="464"/>
      <c r="X51" s="76"/>
      <c r="Y51" s="75"/>
      <c r="Z51" s="72"/>
      <c r="AA51" s="20">
        <f t="shared" si="14"/>
        <v>0</v>
      </c>
      <c r="AB51" s="53"/>
      <c r="AC51" s="488"/>
      <c r="AD51" s="464"/>
      <c r="AE51" s="76"/>
      <c r="AF51" s="75"/>
      <c r="AG51" s="72"/>
      <c r="AH51" s="20">
        <f t="shared" si="15"/>
        <v>0</v>
      </c>
      <c r="AI51" s="77"/>
      <c r="AJ51" s="512"/>
      <c r="AK51" s="464"/>
      <c r="AL51" s="76"/>
      <c r="AM51" s="75"/>
      <c r="AN51" s="72"/>
      <c r="AO51" s="20">
        <f t="shared" si="16"/>
        <v>0</v>
      </c>
      <c r="AP51" s="53"/>
      <c r="AQ51" s="4">
        <f t="shared" si="17"/>
        <v>0</v>
      </c>
    </row>
    <row r="52" spans="1:43" ht="106.5" customHeight="1" x14ac:dyDescent="0.2">
      <c r="A52" s="488"/>
      <c r="B52" s="464"/>
      <c r="C52" s="76" t="s">
        <v>55</v>
      </c>
      <c r="D52" s="75" t="s">
        <v>8</v>
      </c>
      <c r="E52" s="93">
        <f>3393+3637.5</f>
        <v>7030.5</v>
      </c>
      <c r="F52" s="77">
        <f>60000+36000</f>
        <v>96000</v>
      </c>
      <c r="G52" s="92">
        <f>E52/F52</f>
        <v>7.3234375000000004E-2</v>
      </c>
      <c r="H52" s="488"/>
      <c r="I52" s="464"/>
      <c r="J52" s="76" t="s">
        <v>55</v>
      </c>
      <c r="K52" s="75" t="s">
        <v>8</v>
      </c>
      <c r="L52" s="72">
        <f>$G$52*M52</f>
        <v>3621.6847928374409</v>
      </c>
      <c r="M52" s="20">
        <f t="shared" si="12"/>
        <v>49453.344728311546</v>
      </c>
      <c r="N52" s="91"/>
      <c r="O52" s="488"/>
      <c r="P52" s="464"/>
      <c r="Q52" s="76" t="s">
        <v>55</v>
      </c>
      <c r="R52" s="75" t="s">
        <v>8</v>
      </c>
      <c r="S52" s="72">
        <f>$G$52*T52</f>
        <v>15.815217435971361</v>
      </c>
      <c r="T52" s="20">
        <f t="shared" si="13"/>
        <v>215.95347042930808</v>
      </c>
      <c r="U52" s="53"/>
      <c r="V52" s="488"/>
      <c r="W52" s="464"/>
      <c r="X52" s="76" t="s">
        <v>55</v>
      </c>
      <c r="Y52" s="75" t="s">
        <v>8</v>
      </c>
      <c r="Z52" s="90">
        <f>$G$52*AA52</f>
        <v>2888.3659403739057</v>
      </c>
      <c r="AA52" s="20">
        <f t="shared" si="14"/>
        <v>39440.029909095363</v>
      </c>
      <c r="AB52" s="53"/>
      <c r="AC52" s="488"/>
      <c r="AD52" s="464"/>
      <c r="AE52" s="76" t="s">
        <v>55</v>
      </c>
      <c r="AF52" s="75" t="s">
        <v>8</v>
      </c>
      <c r="AG52" s="72">
        <f>$G$52*AH52</f>
        <v>13.279843404017955</v>
      </c>
      <c r="AH52" s="20">
        <f t="shared" si="15"/>
        <v>181.33347084641542</v>
      </c>
      <c r="AI52" s="77"/>
      <c r="AJ52" s="512"/>
      <c r="AK52" s="464"/>
      <c r="AL52" s="76" t="s">
        <v>55</v>
      </c>
      <c r="AM52" s="75" t="s">
        <v>8</v>
      </c>
      <c r="AN52" s="72">
        <f>$G$52*AO52</f>
        <v>491.3542059486644</v>
      </c>
      <c r="AO52" s="20">
        <f t="shared" si="16"/>
        <v>6709.3384213173713</v>
      </c>
      <c r="AP52" s="53" t="s">
        <v>150</v>
      </c>
      <c r="AQ52" s="4">
        <f t="shared" si="17"/>
        <v>0</v>
      </c>
    </row>
    <row r="53" spans="1:43" ht="252.75" customHeight="1" thickBot="1" x14ac:dyDescent="0.25">
      <c r="A53" s="488"/>
      <c r="B53" s="464"/>
      <c r="C53" s="86" t="s">
        <v>54</v>
      </c>
      <c r="D53" s="85" t="s">
        <v>40</v>
      </c>
      <c r="E53" s="84">
        <f>161+231+65+18+21+5</f>
        <v>501</v>
      </c>
      <c r="F53" s="89">
        <f>71472+31915.8+4422.32+6170.39+18774+45892+30000</f>
        <v>208646.51</v>
      </c>
      <c r="G53" s="88">
        <f>E53/F53</f>
        <v>2.4011904153105651E-3</v>
      </c>
      <c r="H53" s="488"/>
      <c r="I53" s="464"/>
      <c r="J53" s="86" t="s">
        <v>54</v>
      </c>
      <c r="K53" s="85" t="s">
        <v>40</v>
      </c>
      <c r="L53" s="84">
        <f>$G$53*M53</f>
        <v>258.08464280087588</v>
      </c>
      <c r="M53" s="20">
        <f t="shared" si="12"/>
        <v>107481.95609780315</v>
      </c>
      <c r="N53" s="87"/>
      <c r="O53" s="488"/>
      <c r="P53" s="464"/>
      <c r="Q53" s="86" t="s">
        <v>54</v>
      </c>
      <c r="R53" s="85" t="s">
        <v>40</v>
      </c>
      <c r="S53" s="84">
        <f>$G$53*T53</f>
        <v>1.1270071738029517</v>
      </c>
      <c r="T53" s="20">
        <f t="shared" si="13"/>
        <v>469.3535200777431</v>
      </c>
      <c r="U53" s="83"/>
      <c r="V53" s="488"/>
      <c r="W53" s="464"/>
      <c r="X53" s="86" t="s">
        <v>54</v>
      </c>
      <c r="Y53" s="85" t="s">
        <v>40</v>
      </c>
      <c r="Z53" s="84">
        <f>$G$53*AA53</f>
        <v>205.82765608809143</v>
      </c>
      <c r="AA53" s="20">
        <f t="shared" si="14"/>
        <v>85719.006196128801</v>
      </c>
      <c r="AB53" s="83"/>
      <c r="AC53" s="488"/>
      <c r="AD53" s="464"/>
      <c r="AE53" s="86" t="s">
        <v>54</v>
      </c>
      <c r="AF53" s="85" t="s">
        <v>40</v>
      </c>
      <c r="AG53" s="84">
        <f>$G$53*AH53</f>
        <v>0.94633405097973056</v>
      </c>
      <c r="AH53" s="20">
        <f t="shared" si="15"/>
        <v>394.11037331553467</v>
      </c>
      <c r="AI53" s="89"/>
      <c r="AJ53" s="512"/>
      <c r="AK53" s="464"/>
      <c r="AL53" s="86" t="s">
        <v>54</v>
      </c>
      <c r="AM53" s="85" t="s">
        <v>40</v>
      </c>
      <c r="AN53" s="84">
        <f>$G$53*AO53</f>
        <v>35.014359886250034</v>
      </c>
      <c r="AO53" s="20">
        <f t="shared" si="16"/>
        <v>14582.083812674784</v>
      </c>
      <c r="AP53" s="83" t="s">
        <v>150</v>
      </c>
      <c r="AQ53" s="4">
        <f t="shared" si="17"/>
        <v>0</v>
      </c>
    </row>
    <row r="54" spans="1:43" ht="15" hidden="1" customHeight="1" thickBot="1" x14ac:dyDescent="0.25">
      <c r="A54" s="488"/>
      <c r="B54" s="465"/>
      <c r="C54" s="81" t="s">
        <v>2</v>
      </c>
      <c r="D54" s="80"/>
      <c r="E54" s="79"/>
      <c r="F54" s="82">
        <f>SUM(F44:F53)</f>
        <v>877507.83</v>
      </c>
      <c r="G54" s="78">
        <f>SUM(G44:G53)</f>
        <v>5.6673317614570449</v>
      </c>
      <c r="H54" s="488"/>
      <c r="I54" s="465"/>
      <c r="J54" s="81" t="s">
        <v>2</v>
      </c>
      <c r="K54" s="80"/>
      <c r="L54" s="79"/>
      <c r="M54" s="68">
        <f>454012.48/460*458</f>
        <v>452038.51269565214</v>
      </c>
      <c r="N54" s="78">
        <f>SUM(N44:N53)</f>
        <v>0</v>
      </c>
      <c r="O54" s="488"/>
      <c r="P54" s="465"/>
      <c r="Q54" s="81" t="s">
        <v>2</v>
      </c>
      <c r="R54" s="80"/>
      <c r="S54" s="79"/>
      <c r="T54" s="51">
        <f>454012.48/460*2</f>
        <v>1973.967304347826</v>
      </c>
      <c r="U54" s="78">
        <f>SUM(U44:U53)</f>
        <v>0</v>
      </c>
      <c r="V54" s="488"/>
      <c r="W54" s="465"/>
      <c r="X54" s="81" t="s">
        <v>2</v>
      </c>
      <c r="Y54" s="80"/>
      <c r="Z54" s="79"/>
      <c r="AA54" s="51">
        <f>423495.35/SUM($J$2:$L$2)*J2</f>
        <v>360509.7402152642</v>
      </c>
      <c r="AB54" s="78">
        <f>SUM(AB44:AB53)</f>
        <v>0</v>
      </c>
      <c r="AC54" s="488"/>
      <c r="AD54" s="465"/>
      <c r="AE54" s="81" t="s">
        <v>2</v>
      </c>
      <c r="AF54" s="80"/>
      <c r="AG54" s="79"/>
      <c r="AH54" s="68">
        <f>423495.35/SUM($J$2:$L$2)*K2</f>
        <v>1657.5160469667319</v>
      </c>
      <c r="AI54" s="366">
        <f>SUM(AI44:AI53)</f>
        <v>0</v>
      </c>
      <c r="AJ54" s="512"/>
      <c r="AK54" s="464"/>
      <c r="AL54" s="231" t="s">
        <v>2</v>
      </c>
      <c r="AM54" s="80"/>
      <c r="AN54" s="329"/>
      <c r="AO54" s="68">
        <f>423495.35/SUM($J$2:$L$2)*L2</f>
        <v>61328.093737769079</v>
      </c>
      <c r="AP54" s="78">
        <f>SUM(AP44:AP53)</f>
        <v>0</v>
      </c>
      <c r="AQ54" s="4">
        <f t="shared" si="17"/>
        <v>0</v>
      </c>
    </row>
    <row r="55" spans="1:43" ht="31.5" customHeight="1" thickBot="1" x14ac:dyDescent="0.25">
      <c r="A55" s="488"/>
      <c r="B55" s="465"/>
      <c r="C55" s="479" t="s">
        <v>53</v>
      </c>
      <c r="D55" s="480"/>
      <c r="E55" s="480"/>
      <c r="F55" s="480"/>
      <c r="G55" s="481"/>
      <c r="H55" s="488"/>
      <c r="I55" s="465"/>
      <c r="J55" s="479" t="s">
        <v>53</v>
      </c>
      <c r="K55" s="480"/>
      <c r="L55" s="480"/>
      <c r="M55" s="489"/>
      <c r="N55" s="481"/>
      <c r="O55" s="488"/>
      <c r="P55" s="465"/>
      <c r="Q55" s="479" t="s">
        <v>53</v>
      </c>
      <c r="R55" s="480"/>
      <c r="S55" s="480"/>
      <c r="T55" s="486"/>
      <c r="U55" s="481"/>
      <c r="V55" s="488"/>
      <c r="W55" s="465"/>
      <c r="X55" s="479" t="s">
        <v>53</v>
      </c>
      <c r="Y55" s="480"/>
      <c r="Z55" s="480"/>
      <c r="AA55" s="486"/>
      <c r="AB55" s="481"/>
      <c r="AC55" s="488"/>
      <c r="AD55" s="465"/>
      <c r="AE55" s="479" t="s">
        <v>53</v>
      </c>
      <c r="AF55" s="480"/>
      <c r="AG55" s="480"/>
      <c r="AH55" s="489"/>
      <c r="AI55" s="515"/>
      <c r="AJ55" s="512"/>
      <c r="AK55" s="464"/>
      <c r="AL55" s="482" t="s">
        <v>53</v>
      </c>
      <c r="AM55" s="483"/>
      <c r="AN55" s="483"/>
      <c r="AO55" s="484"/>
      <c r="AP55" s="485"/>
      <c r="AQ55" s="4">
        <f t="shared" si="17"/>
        <v>0</v>
      </c>
    </row>
    <row r="56" spans="1:43" ht="76.5" x14ac:dyDescent="0.2">
      <c r="A56" s="488"/>
      <c r="B56" s="464"/>
      <c r="C56" s="76" t="s">
        <v>52</v>
      </c>
      <c r="D56" s="75" t="s">
        <v>8</v>
      </c>
      <c r="E56" s="30">
        <f>3393+3637.5</f>
        <v>7030.5</v>
      </c>
      <c r="F56" s="77">
        <f>93870+17000+51000+10000</f>
        <v>171870</v>
      </c>
      <c r="G56" s="53">
        <f>E56/F56</f>
        <v>4.0905917263047653E-2</v>
      </c>
      <c r="H56" s="488"/>
      <c r="I56" s="464"/>
      <c r="J56" s="76" t="s">
        <v>52</v>
      </c>
      <c r="K56" s="75" t="s">
        <v>8</v>
      </c>
      <c r="L56" s="72">
        <f>$G$56*M56</f>
        <v>3316.1369721936153</v>
      </c>
      <c r="M56" s="20">
        <f>$M$59/$F$59*F56</f>
        <v>81067.41503604532</v>
      </c>
      <c r="N56" s="53"/>
      <c r="O56" s="488"/>
      <c r="P56" s="464"/>
      <c r="Q56" s="76" t="s">
        <v>52</v>
      </c>
      <c r="R56" s="75" t="s">
        <v>8</v>
      </c>
      <c r="S56" s="58">
        <f>$G$56*T56</f>
        <v>14.480947476828014</v>
      </c>
      <c r="T56" s="20">
        <f>$T$59/$F$59*F56</f>
        <v>354.00617919670447</v>
      </c>
      <c r="U56" s="53"/>
      <c r="V56" s="488"/>
      <c r="W56" s="464"/>
      <c r="X56" s="76" t="s">
        <v>52</v>
      </c>
      <c r="Y56" s="75" t="s">
        <v>8</v>
      </c>
      <c r="Z56" s="72">
        <f>$G$56*AA56</f>
        <v>3149.6060762100929</v>
      </c>
      <c r="AA56" s="20">
        <f>$AA$59/$F$59*F56</f>
        <v>76996.34397528322</v>
      </c>
      <c r="AB56" s="53"/>
      <c r="AC56" s="488"/>
      <c r="AD56" s="464"/>
      <c r="AE56" s="76" t="s">
        <v>52</v>
      </c>
      <c r="AF56" s="75" t="s">
        <v>8</v>
      </c>
      <c r="AG56" s="72">
        <f>$G$56*AH56</f>
        <v>14.480947476828014</v>
      </c>
      <c r="AH56" s="20">
        <f>$AH$59/$F$59*F56</f>
        <v>354.00617919670447</v>
      </c>
      <c r="AI56" s="77"/>
      <c r="AJ56" s="512"/>
      <c r="AK56" s="464"/>
      <c r="AL56" s="76" t="s">
        <v>52</v>
      </c>
      <c r="AM56" s="75" t="s">
        <v>8</v>
      </c>
      <c r="AN56" s="72">
        <f>$G$56*AO56</f>
        <v>535.79505664263661</v>
      </c>
      <c r="AO56" s="20">
        <f>$AO$59/$F$59*F56</f>
        <v>13098.228630278067</v>
      </c>
      <c r="AP56" s="53" t="s">
        <v>150</v>
      </c>
      <c r="AQ56" s="4">
        <f t="shared" si="17"/>
        <v>0</v>
      </c>
    </row>
    <row r="57" spans="1:43" x14ac:dyDescent="0.2">
      <c r="A57" s="488"/>
      <c r="B57" s="464"/>
      <c r="C57" s="76" t="s">
        <v>51</v>
      </c>
      <c r="D57" s="75" t="s">
        <v>12</v>
      </c>
      <c r="E57" s="30">
        <v>1</v>
      </c>
      <c r="F57" s="77">
        <v>20000</v>
      </c>
      <c r="G57" s="53">
        <f>E57/F57</f>
        <v>5.0000000000000002E-5</v>
      </c>
      <c r="H57" s="488"/>
      <c r="I57" s="464"/>
      <c r="J57" s="76" t="s">
        <v>51</v>
      </c>
      <c r="K57" s="75" t="s">
        <v>12</v>
      </c>
      <c r="L57" s="72">
        <f>$G$57*M57-0.1</f>
        <v>0.37167868177136976</v>
      </c>
      <c r="M57" s="20">
        <f>$M$59/$F$59*F57</f>
        <v>9433.573635427394</v>
      </c>
      <c r="N57" s="53"/>
      <c r="O57" s="488"/>
      <c r="P57" s="464"/>
      <c r="Q57" s="76" t="s">
        <v>51</v>
      </c>
      <c r="R57" s="75" t="s">
        <v>12</v>
      </c>
      <c r="S57" s="58">
        <f>$G$57*T57+0.1</f>
        <v>0.10205973223480948</v>
      </c>
      <c r="T57" s="20">
        <f>$T$59/$F$59*F57</f>
        <v>41.194644696189499</v>
      </c>
      <c r="U57" s="53"/>
      <c r="V57" s="488"/>
      <c r="W57" s="464"/>
      <c r="X57" s="76" t="s">
        <v>51</v>
      </c>
      <c r="Y57" s="75" t="s">
        <v>12</v>
      </c>
      <c r="Z57" s="72">
        <f>$G$57*AA57-0.1</f>
        <v>0.34799176107106078</v>
      </c>
      <c r="AA57" s="20">
        <f>$AA$59/$F$59*F57</f>
        <v>8959.8352214212155</v>
      </c>
      <c r="AB57" s="53"/>
      <c r="AC57" s="488"/>
      <c r="AD57" s="464"/>
      <c r="AE57" s="76" t="s">
        <v>51</v>
      </c>
      <c r="AF57" s="75" t="s">
        <v>12</v>
      </c>
      <c r="AG57" s="72">
        <f>$G$57*AH57+0.1</f>
        <v>0.10205973223480948</v>
      </c>
      <c r="AH57" s="20">
        <f>$AH$59/$F$59*F57</f>
        <v>41.194644696189499</v>
      </c>
      <c r="AI57" s="77"/>
      <c r="AJ57" s="512"/>
      <c r="AK57" s="464"/>
      <c r="AL57" s="76" t="s">
        <v>51</v>
      </c>
      <c r="AM57" s="75" t="s">
        <v>12</v>
      </c>
      <c r="AN57" s="72">
        <f>$G$57*AO57</f>
        <v>7.6210092687950579E-2</v>
      </c>
      <c r="AO57" s="20">
        <f>$AO$59/$F$59*F57</f>
        <v>1524.2018537590116</v>
      </c>
      <c r="AP57" s="53" t="s">
        <v>150</v>
      </c>
      <c r="AQ57" s="4">
        <f t="shared" si="17"/>
        <v>0</v>
      </c>
    </row>
    <row r="58" spans="1:43" ht="26.25" thickBot="1" x14ac:dyDescent="0.25">
      <c r="A58" s="488"/>
      <c r="B58" s="464"/>
      <c r="C58" s="73" t="s">
        <v>50</v>
      </c>
      <c r="D58" s="56" t="s">
        <v>12</v>
      </c>
      <c r="E58" s="74">
        <v>1</v>
      </c>
      <c r="F58" s="32">
        <v>60000</v>
      </c>
      <c r="G58" s="53">
        <f>E58/F58</f>
        <v>1.6666666666666667E-5</v>
      </c>
      <c r="H58" s="488"/>
      <c r="I58" s="464"/>
      <c r="J58" s="73" t="s">
        <v>50</v>
      </c>
      <c r="K58" s="56" t="s">
        <v>12</v>
      </c>
      <c r="L58" s="72">
        <f>$G$58*M58-0.1</f>
        <v>0.37167868177136976</v>
      </c>
      <c r="M58" s="20">
        <f>$M$59/$F$59*F58</f>
        <v>28300.720906282186</v>
      </c>
      <c r="N58" s="71"/>
      <c r="O58" s="488"/>
      <c r="P58" s="464"/>
      <c r="Q58" s="73" t="s">
        <v>50</v>
      </c>
      <c r="R58" s="56" t="s">
        <v>12</v>
      </c>
      <c r="S58" s="58">
        <f>$G$58*T58+0.1</f>
        <v>0.10205973223480948</v>
      </c>
      <c r="T58" s="20">
        <f>$T$59/$F$59*F58</f>
        <v>123.58393408856851</v>
      </c>
      <c r="U58" s="71"/>
      <c r="V58" s="488"/>
      <c r="W58" s="464"/>
      <c r="X58" s="73" t="s">
        <v>50</v>
      </c>
      <c r="Y58" s="56" t="s">
        <v>12</v>
      </c>
      <c r="Z58" s="72">
        <f>$G$58*AA58-0.1</f>
        <v>0.34799176107106078</v>
      </c>
      <c r="AA58" s="20">
        <f>$AA$59/$F$59*F58</f>
        <v>26879.505664263648</v>
      </c>
      <c r="AB58" s="71"/>
      <c r="AC58" s="488"/>
      <c r="AD58" s="464"/>
      <c r="AE58" s="73" t="s">
        <v>50</v>
      </c>
      <c r="AF58" s="56" t="s">
        <v>12</v>
      </c>
      <c r="AG58" s="72">
        <f>$G$58*AH58+0.1</f>
        <v>0.10205973223480948</v>
      </c>
      <c r="AH58" s="20">
        <f>$AH$59/$F$59*F58</f>
        <v>123.58393408856851</v>
      </c>
      <c r="AI58" s="42"/>
      <c r="AJ58" s="512"/>
      <c r="AK58" s="464"/>
      <c r="AL58" s="73" t="s">
        <v>50</v>
      </c>
      <c r="AM58" s="56" t="s">
        <v>12</v>
      </c>
      <c r="AN58" s="72">
        <f>$G$58*AO58</f>
        <v>7.6210092687950592E-2</v>
      </c>
      <c r="AO58" s="20">
        <f>$AO$59/$F$59*F58</f>
        <v>4572.6055612770351</v>
      </c>
      <c r="AP58" s="71" t="s">
        <v>150</v>
      </c>
      <c r="AQ58" s="4">
        <f t="shared" si="17"/>
        <v>0</v>
      </c>
    </row>
    <row r="59" spans="1:43" ht="15" hidden="1" customHeight="1" thickBot="1" x14ac:dyDescent="0.25">
      <c r="A59" s="488"/>
      <c r="B59" s="464"/>
      <c r="C59" s="70" t="s">
        <v>2</v>
      </c>
      <c r="D59" s="69"/>
      <c r="E59" s="69"/>
      <c r="F59" s="52">
        <f>SUM(F56:F58)</f>
        <v>251870</v>
      </c>
      <c r="G59" s="67"/>
      <c r="H59" s="488"/>
      <c r="I59" s="464"/>
      <c r="J59" s="70" t="s">
        <v>2</v>
      </c>
      <c r="K59" s="69"/>
      <c r="L59" s="69"/>
      <c r="M59" s="68">
        <f>$F$59/$G$2*H2</f>
        <v>118801.7095777549</v>
      </c>
      <c r="N59" s="67"/>
      <c r="O59" s="488"/>
      <c r="P59" s="464"/>
      <c r="Q59" s="70" t="s">
        <v>2</v>
      </c>
      <c r="R59" s="69"/>
      <c r="S59" s="69"/>
      <c r="T59" s="68">
        <f>$F$59/$G$2*I2</f>
        <v>518.78475798146246</v>
      </c>
      <c r="U59" s="67"/>
      <c r="V59" s="488"/>
      <c r="W59" s="464"/>
      <c r="X59" s="70" t="s">
        <v>2</v>
      </c>
      <c r="Y59" s="69"/>
      <c r="Z59" s="69"/>
      <c r="AA59" s="68">
        <f>$F$59/$G$2*J2</f>
        <v>112835.68486096809</v>
      </c>
      <c r="AB59" s="67"/>
      <c r="AC59" s="488"/>
      <c r="AD59" s="464"/>
      <c r="AE59" s="70" t="s">
        <v>2</v>
      </c>
      <c r="AF59" s="69"/>
      <c r="AG59" s="69"/>
      <c r="AH59" s="68">
        <f>$F$59/$G$2*K2</f>
        <v>518.78475798146246</v>
      </c>
      <c r="AI59" s="367"/>
      <c r="AJ59" s="512"/>
      <c r="AK59" s="464"/>
      <c r="AL59" s="233" t="s">
        <v>2</v>
      </c>
      <c r="AM59" s="234"/>
      <c r="AN59" s="234"/>
      <c r="AO59" s="235">
        <f>$F$59/$G$2*L2</f>
        <v>19195.036045314111</v>
      </c>
      <c r="AP59" s="236"/>
      <c r="AQ59" s="4">
        <f t="shared" si="17"/>
        <v>0</v>
      </c>
    </row>
    <row r="60" spans="1:43" ht="15" thickBot="1" x14ac:dyDescent="0.25">
      <c r="A60" s="488"/>
      <c r="B60" s="464"/>
      <c r="C60" s="474" t="s">
        <v>49</v>
      </c>
      <c r="D60" s="474"/>
      <c r="E60" s="474"/>
      <c r="F60" s="474"/>
      <c r="G60" s="475"/>
      <c r="H60" s="488"/>
      <c r="I60" s="464"/>
      <c r="J60" s="474" t="s">
        <v>49</v>
      </c>
      <c r="K60" s="474"/>
      <c r="L60" s="474"/>
      <c r="M60" s="474"/>
      <c r="N60" s="475"/>
      <c r="O60" s="488"/>
      <c r="P60" s="464"/>
      <c r="Q60" s="474" t="s">
        <v>49</v>
      </c>
      <c r="R60" s="474"/>
      <c r="S60" s="474"/>
      <c r="T60" s="474"/>
      <c r="U60" s="475"/>
      <c r="V60" s="488"/>
      <c r="W60" s="464"/>
      <c r="X60" s="474" t="s">
        <v>49</v>
      </c>
      <c r="Y60" s="474"/>
      <c r="Z60" s="474"/>
      <c r="AA60" s="474"/>
      <c r="AB60" s="475"/>
      <c r="AC60" s="488"/>
      <c r="AD60" s="464"/>
      <c r="AE60" s="474" t="s">
        <v>49</v>
      </c>
      <c r="AF60" s="474"/>
      <c r="AG60" s="474"/>
      <c r="AH60" s="474"/>
      <c r="AI60" s="474"/>
      <c r="AJ60" s="512"/>
      <c r="AK60" s="464"/>
      <c r="AL60" s="477" t="s">
        <v>49</v>
      </c>
      <c r="AM60" s="477"/>
      <c r="AN60" s="477"/>
      <c r="AO60" s="477"/>
      <c r="AP60" s="478"/>
      <c r="AQ60" s="4">
        <f t="shared" si="17"/>
        <v>0</v>
      </c>
    </row>
    <row r="61" spans="1:43" ht="26.25" thickBot="1" x14ac:dyDescent="0.25">
      <c r="A61" s="488"/>
      <c r="B61" s="465"/>
      <c r="C61" s="64" t="s">
        <v>48</v>
      </c>
      <c r="D61" s="63" t="s">
        <v>44</v>
      </c>
      <c r="E61" s="66">
        <v>10</v>
      </c>
      <c r="F61" s="65">
        <v>75600</v>
      </c>
      <c r="G61" s="59">
        <f t="shared" ref="G61:G66" si="18">E61/F61</f>
        <v>1.3227513227513228E-4</v>
      </c>
      <c r="H61" s="488"/>
      <c r="I61" s="465"/>
      <c r="J61" s="64" t="s">
        <v>48</v>
      </c>
      <c r="K61" s="63" t="s">
        <v>44</v>
      </c>
      <c r="L61" s="58">
        <f>$G$61*M61-0.1</f>
        <v>4.6167868177136979</v>
      </c>
      <c r="M61" s="54">
        <f t="shared" ref="M61:M66" si="19">$M$67/$F$67*F61</f>
        <v>35658.90834191555</v>
      </c>
      <c r="N61" s="59"/>
      <c r="O61" s="488"/>
      <c r="P61" s="465"/>
      <c r="Q61" s="64" t="s">
        <v>48</v>
      </c>
      <c r="R61" s="63" t="s">
        <v>44</v>
      </c>
      <c r="S61" s="58">
        <f>$G$61*T61+0.1</f>
        <v>0.12059732234809475</v>
      </c>
      <c r="T61" s="54">
        <f t="shared" ref="T61:T66" si="20">$T$67/$F$67*F61</f>
        <v>155.71575695159629</v>
      </c>
      <c r="U61" s="59"/>
      <c r="V61" s="488"/>
      <c r="W61" s="465"/>
      <c r="X61" s="64" t="s">
        <v>48</v>
      </c>
      <c r="Y61" s="63" t="s">
        <v>44</v>
      </c>
      <c r="Z61" s="55">
        <f>$G$61*AA61-0.1</f>
        <v>4.3799176107106081</v>
      </c>
      <c r="AA61" s="54">
        <f t="shared" ref="AA61:AA66" si="21">$AA$67/$F$67*F61</f>
        <v>33868.17713697219</v>
      </c>
      <c r="AB61" s="59"/>
      <c r="AC61" s="488"/>
      <c r="AD61" s="465"/>
      <c r="AE61" s="64" t="s">
        <v>48</v>
      </c>
      <c r="AF61" s="63" t="s">
        <v>44</v>
      </c>
      <c r="AG61" s="55">
        <f>$G$61*AH61+0.1</f>
        <v>0.12059732234809475</v>
      </c>
      <c r="AH61" s="54">
        <f t="shared" ref="AH61:AH66" si="22">$AH$67/$F$67*F61</f>
        <v>155.71575695159629</v>
      </c>
      <c r="AI61" s="107"/>
      <c r="AJ61" s="512"/>
      <c r="AK61" s="464"/>
      <c r="AL61" s="237" t="s">
        <v>48</v>
      </c>
      <c r="AM61" s="238" t="s">
        <v>44</v>
      </c>
      <c r="AN61" s="232">
        <f>$G$61*AO61</f>
        <v>0.7621009268795057</v>
      </c>
      <c r="AO61" s="239">
        <f t="shared" ref="AO61:AO66" si="23">$AO$67/$F$67*F61</f>
        <v>5761.4830072090626</v>
      </c>
      <c r="AP61" s="240" t="s">
        <v>150</v>
      </c>
      <c r="AQ61" s="4">
        <f t="shared" si="17"/>
        <v>-1.4432899320127035E-15</v>
      </c>
    </row>
    <row r="62" spans="1:43" ht="51.75" thickBot="1" x14ac:dyDescent="0.25">
      <c r="A62" s="488"/>
      <c r="B62" s="465"/>
      <c r="C62" s="57" t="s">
        <v>47</v>
      </c>
      <c r="D62" s="56" t="s">
        <v>44</v>
      </c>
      <c r="E62" s="61">
        <v>6</v>
      </c>
      <c r="F62" s="60">
        <v>12744</v>
      </c>
      <c r="G62" s="59">
        <f t="shared" si="18"/>
        <v>4.7080979284369113E-4</v>
      </c>
      <c r="H62" s="488"/>
      <c r="I62" s="465"/>
      <c r="J62" s="57" t="s">
        <v>47</v>
      </c>
      <c r="K62" s="56" t="s">
        <v>44</v>
      </c>
      <c r="L62" s="58">
        <f>$G$62*M62-0.1</f>
        <v>2.7300720906282181</v>
      </c>
      <c r="M62" s="54">
        <f t="shared" si="19"/>
        <v>6011.0731204943359</v>
      </c>
      <c r="N62" s="53"/>
      <c r="O62" s="488"/>
      <c r="P62" s="465"/>
      <c r="Q62" s="57" t="s">
        <v>47</v>
      </c>
      <c r="R62" s="56" t="s">
        <v>44</v>
      </c>
      <c r="S62" s="58">
        <f>$G$62*T62+0.1</f>
        <v>0.11235839340885685</v>
      </c>
      <c r="T62" s="54">
        <f t="shared" si="20"/>
        <v>26.249227600411945</v>
      </c>
      <c r="U62" s="53"/>
      <c r="V62" s="488"/>
      <c r="W62" s="465"/>
      <c r="X62" s="57" t="s">
        <v>47</v>
      </c>
      <c r="Y62" s="56" t="s">
        <v>44</v>
      </c>
      <c r="Z62" s="55">
        <f>$G$62*AA62-0.1</f>
        <v>2.5879505664263642</v>
      </c>
      <c r="AA62" s="54">
        <f t="shared" si="21"/>
        <v>5709.2070030895984</v>
      </c>
      <c r="AB62" s="53"/>
      <c r="AC62" s="488"/>
      <c r="AD62" s="465"/>
      <c r="AE62" s="57" t="s">
        <v>47</v>
      </c>
      <c r="AF62" s="56" t="s">
        <v>44</v>
      </c>
      <c r="AG62" s="55">
        <f>$G$62*AH62+0.1</f>
        <v>0.11235839340885685</v>
      </c>
      <c r="AH62" s="54">
        <f t="shared" si="22"/>
        <v>26.249227600411945</v>
      </c>
      <c r="AI62" s="77"/>
      <c r="AJ62" s="512"/>
      <c r="AK62" s="464"/>
      <c r="AL62" s="73" t="s">
        <v>47</v>
      </c>
      <c r="AM62" s="56" t="s">
        <v>44</v>
      </c>
      <c r="AN62" s="58">
        <f>$G$62*AO62</f>
        <v>0.45726055612770339</v>
      </c>
      <c r="AO62" s="54">
        <f t="shared" si="23"/>
        <v>971.221421215242</v>
      </c>
      <c r="AP62" s="53" t="s">
        <v>150</v>
      </c>
      <c r="AQ62" s="4">
        <f t="shared" si="17"/>
        <v>4.4408920985006262E-16</v>
      </c>
    </row>
    <row r="63" spans="1:43" ht="26.25" thickBot="1" x14ac:dyDescent="0.25">
      <c r="A63" s="488"/>
      <c r="B63" s="465"/>
      <c r="C63" s="57" t="s">
        <v>46</v>
      </c>
      <c r="D63" s="56" t="s">
        <v>44</v>
      </c>
      <c r="E63" s="61">
        <v>10</v>
      </c>
      <c r="F63" s="60">
        <v>11640</v>
      </c>
      <c r="G63" s="59">
        <f t="shared" si="18"/>
        <v>8.5910652920962198E-4</v>
      </c>
      <c r="H63" s="488"/>
      <c r="I63" s="465"/>
      <c r="J63" s="57" t="s">
        <v>46</v>
      </c>
      <c r="K63" s="56" t="s">
        <v>44</v>
      </c>
      <c r="L63" s="58">
        <f>$G$63*M63-0.1</f>
        <v>4.6167868177136979</v>
      </c>
      <c r="M63" s="54">
        <f t="shared" si="19"/>
        <v>5490.3398558187437</v>
      </c>
      <c r="N63" s="53"/>
      <c r="O63" s="488"/>
      <c r="P63" s="465"/>
      <c r="Q63" s="57" t="s">
        <v>46</v>
      </c>
      <c r="R63" s="56" t="s">
        <v>44</v>
      </c>
      <c r="S63" s="58">
        <f>$G$63*T63+0.1</f>
        <v>0.12059732234809475</v>
      </c>
      <c r="T63" s="54">
        <f t="shared" si="20"/>
        <v>23.975283213182287</v>
      </c>
      <c r="U63" s="53"/>
      <c r="V63" s="488"/>
      <c r="W63" s="465"/>
      <c r="X63" s="57" t="s">
        <v>46</v>
      </c>
      <c r="Y63" s="56" t="s">
        <v>44</v>
      </c>
      <c r="Z63" s="55">
        <f>$G$63*AA63-0.1</f>
        <v>4.3799176107106073</v>
      </c>
      <c r="AA63" s="54">
        <f t="shared" si="21"/>
        <v>5214.624098867147</v>
      </c>
      <c r="AB63" s="53"/>
      <c r="AC63" s="488"/>
      <c r="AD63" s="465"/>
      <c r="AE63" s="57" t="s">
        <v>46</v>
      </c>
      <c r="AF63" s="56" t="s">
        <v>44</v>
      </c>
      <c r="AG63" s="55">
        <f>$G$63*AH63+0.1</f>
        <v>0.12059732234809475</v>
      </c>
      <c r="AH63" s="54">
        <f t="shared" si="22"/>
        <v>23.975283213182287</v>
      </c>
      <c r="AI63" s="77"/>
      <c r="AJ63" s="512"/>
      <c r="AK63" s="464"/>
      <c r="AL63" s="73" t="s">
        <v>46</v>
      </c>
      <c r="AM63" s="56" t="s">
        <v>44</v>
      </c>
      <c r="AN63" s="58">
        <f>$G$63*AO63</f>
        <v>0.76210092687950559</v>
      </c>
      <c r="AO63" s="54">
        <f t="shared" si="23"/>
        <v>887.08547888774456</v>
      </c>
      <c r="AP63" s="53" t="s">
        <v>150</v>
      </c>
      <c r="AQ63" s="4">
        <f t="shared" si="17"/>
        <v>0</v>
      </c>
    </row>
    <row r="64" spans="1:43" ht="26.25" thickBot="1" x14ac:dyDescent="0.25">
      <c r="A64" s="488"/>
      <c r="B64" s="465"/>
      <c r="C64" s="57" t="s">
        <v>45</v>
      </c>
      <c r="D64" s="56" t="s">
        <v>44</v>
      </c>
      <c r="E64" s="61">
        <v>1</v>
      </c>
      <c r="F64" s="60">
        <v>7666.0499999999993</v>
      </c>
      <c r="G64" s="59">
        <f t="shared" si="18"/>
        <v>1.3044527494602827E-4</v>
      </c>
      <c r="H64" s="488"/>
      <c r="I64" s="465"/>
      <c r="J64" s="57" t="s">
        <v>45</v>
      </c>
      <c r="K64" s="56" t="s">
        <v>44</v>
      </c>
      <c r="L64" s="58">
        <f>$G$64*M64-0.1</f>
        <v>0.37167868177136976</v>
      </c>
      <c r="M64" s="54">
        <f t="shared" si="19"/>
        <v>3615.9123583934088</v>
      </c>
      <c r="N64" s="62"/>
      <c r="O64" s="488"/>
      <c r="P64" s="465"/>
      <c r="Q64" s="57" t="s">
        <v>45</v>
      </c>
      <c r="R64" s="56" t="s">
        <v>44</v>
      </c>
      <c r="S64" s="58">
        <f>$G$64*T64+0.1</f>
        <v>0.10205973223480948</v>
      </c>
      <c r="T64" s="54">
        <f t="shared" si="20"/>
        <v>15.790010298661173</v>
      </c>
      <c r="U64" s="62"/>
      <c r="V64" s="488"/>
      <c r="W64" s="465"/>
      <c r="X64" s="57" t="s">
        <v>45</v>
      </c>
      <c r="Y64" s="56" t="s">
        <v>44</v>
      </c>
      <c r="Z64" s="55">
        <f>$G$64*AA64-0.1</f>
        <v>0.34799176107106067</v>
      </c>
      <c r="AA64" s="54">
        <f t="shared" si="21"/>
        <v>3434.327239958805</v>
      </c>
      <c r="AB64" s="62"/>
      <c r="AC64" s="488"/>
      <c r="AD64" s="465"/>
      <c r="AE64" s="57" t="s">
        <v>45</v>
      </c>
      <c r="AF64" s="56" t="s">
        <v>44</v>
      </c>
      <c r="AG64" s="55">
        <f>$G$64*AH64+0.1</f>
        <v>0.10205973223480948</v>
      </c>
      <c r="AH64" s="54">
        <f t="shared" si="22"/>
        <v>15.790010298661173</v>
      </c>
      <c r="AI64" s="368"/>
      <c r="AJ64" s="512"/>
      <c r="AK64" s="464"/>
      <c r="AL64" s="73" t="s">
        <v>45</v>
      </c>
      <c r="AM64" s="56" t="s">
        <v>44</v>
      </c>
      <c r="AN64" s="58">
        <f>$G$64*AO64</f>
        <v>7.6210092687950565E-2</v>
      </c>
      <c r="AO64" s="54">
        <f t="shared" si="23"/>
        <v>584.23038105046339</v>
      </c>
      <c r="AP64" s="295" t="s">
        <v>150</v>
      </c>
      <c r="AQ64" s="4">
        <f t="shared" si="17"/>
        <v>0</v>
      </c>
    </row>
    <row r="65" spans="1:43" ht="15" thickBot="1" x14ac:dyDescent="0.25">
      <c r="A65" s="488"/>
      <c r="B65" s="465"/>
      <c r="C65" s="57" t="s">
        <v>43</v>
      </c>
      <c r="D65" s="56" t="s">
        <v>42</v>
      </c>
      <c r="E65" s="61">
        <v>1</v>
      </c>
      <c r="F65" s="60">
        <v>90000</v>
      </c>
      <c r="G65" s="59">
        <f t="shared" si="18"/>
        <v>1.1111111111111112E-5</v>
      </c>
      <c r="H65" s="488"/>
      <c r="I65" s="465"/>
      <c r="J65" s="57" t="s">
        <v>43</v>
      </c>
      <c r="K65" s="56" t="s">
        <v>42</v>
      </c>
      <c r="L65" s="58">
        <f>$G$65*M65-0.1</f>
        <v>0.37167868177136976</v>
      </c>
      <c r="M65" s="54">
        <f t="shared" si="19"/>
        <v>42451.081359423275</v>
      </c>
      <c r="N65" s="53"/>
      <c r="O65" s="488"/>
      <c r="P65" s="465"/>
      <c r="Q65" s="57" t="s">
        <v>43</v>
      </c>
      <c r="R65" s="56" t="s">
        <v>42</v>
      </c>
      <c r="S65" s="58">
        <f>$G$65*T65+0.1</f>
        <v>0.10205973223480948</v>
      </c>
      <c r="T65" s="54">
        <f t="shared" si="20"/>
        <v>185.37590113285273</v>
      </c>
      <c r="U65" s="53"/>
      <c r="V65" s="488"/>
      <c r="W65" s="465"/>
      <c r="X65" s="57" t="s">
        <v>43</v>
      </c>
      <c r="Y65" s="56" t="s">
        <v>42</v>
      </c>
      <c r="Z65" s="55">
        <f>$G$65*AA65-0.1</f>
        <v>0.34799176107106078</v>
      </c>
      <c r="AA65" s="54">
        <f t="shared" si="21"/>
        <v>40319.258496395465</v>
      </c>
      <c r="AB65" s="53"/>
      <c r="AC65" s="488"/>
      <c r="AD65" s="465"/>
      <c r="AE65" s="57" t="s">
        <v>43</v>
      </c>
      <c r="AF65" s="56" t="s">
        <v>42</v>
      </c>
      <c r="AG65" s="55">
        <f>$G$65*AH65+0.1</f>
        <v>0.10205973223480948</v>
      </c>
      <c r="AH65" s="54">
        <f t="shared" si="22"/>
        <v>185.37590113285273</v>
      </c>
      <c r="AI65" s="77"/>
      <c r="AJ65" s="512"/>
      <c r="AK65" s="464"/>
      <c r="AL65" s="73" t="s">
        <v>43</v>
      </c>
      <c r="AM65" s="56" t="s">
        <v>42</v>
      </c>
      <c r="AN65" s="58">
        <f>$G$65*AO65</f>
        <v>7.6210092687950565E-2</v>
      </c>
      <c r="AO65" s="54">
        <f t="shared" si="23"/>
        <v>6858.9083419155504</v>
      </c>
      <c r="AP65" s="53" t="s">
        <v>150</v>
      </c>
      <c r="AQ65" s="4">
        <f t="shared" si="17"/>
        <v>0</v>
      </c>
    </row>
    <row r="66" spans="1:43" ht="26.25" thickBot="1" x14ac:dyDescent="0.25">
      <c r="A66" s="488"/>
      <c r="B66" s="465"/>
      <c r="C66" s="57" t="s">
        <v>41</v>
      </c>
      <c r="D66" s="56" t="s">
        <v>40</v>
      </c>
      <c r="E66" s="61">
        <v>1</v>
      </c>
      <c r="F66" s="60">
        <v>4500</v>
      </c>
      <c r="G66" s="59">
        <f t="shared" si="18"/>
        <v>2.2222222222222223E-4</v>
      </c>
      <c r="H66" s="488"/>
      <c r="I66" s="465"/>
      <c r="J66" s="57" t="s">
        <v>41</v>
      </c>
      <c r="K66" s="56" t="s">
        <v>40</v>
      </c>
      <c r="L66" s="58">
        <f>$G$66*M66-0.1</f>
        <v>0.37167868177136976</v>
      </c>
      <c r="M66" s="54">
        <f t="shared" si="19"/>
        <v>2122.5540679711639</v>
      </c>
      <c r="N66" s="53"/>
      <c r="O66" s="488"/>
      <c r="P66" s="465"/>
      <c r="Q66" s="57" t="s">
        <v>41</v>
      </c>
      <c r="R66" s="56" t="s">
        <v>40</v>
      </c>
      <c r="S66" s="58">
        <f>$G$66*T66+0.1</f>
        <v>0.10205973223480948</v>
      </c>
      <c r="T66" s="54">
        <f t="shared" si="20"/>
        <v>9.2687950566426363</v>
      </c>
      <c r="U66" s="53"/>
      <c r="V66" s="488"/>
      <c r="W66" s="465"/>
      <c r="X66" s="57" t="s">
        <v>41</v>
      </c>
      <c r="Y66" s="56" t="s">
        <v>40</v>
      </c>
      <c r="Z66" s="55">
        <f>$G$66*AA66-0.1</f>
        <v>0.34799176107106078</v>
      </c>
      <c r="AA66" s="54">
        <f t="shared" si="21"/>
        <v>2015.9629248197734</v>
      </c>
      <c r="AB66" s="53"/>
      <c r="AC66" s="488"/>
      <c r="AD66" s="465"/>
      <c r="AE66" s="57" t="s">
        <v>41</v>
      </c>
      <c r="AF66" s="56" t="s">
        <v>40</v>
      </c>
      <c r="AG66" s="55">
        <f>$G$66*AH66+0.1</f>
        <v>0.10205973223480948</v>
      </c>
      <c r="AH66" s="54">
        <f t="shared" si="22"/>
        <v>9.2687950566426363</v>
      </c>
      <c r="AI66" s="77"/>
      <c r="AJ66" s="512"/>
      <c r="AK66" s="464"/>
      <c r="AL66" s="270" t="s">
        <v>41</v>
      </c>
      <c r="AM66" s="263" t="s">
        <v>40</v>
      </c>
      <c r="AN66" s="264">
        <f>$G$66*AO66</f>
        <v>7.6210092687950565E-2</v>
      </c>
      <c r="AO66" s="265">
        <f t="shared" si="23"/>
        <v>342.94541709577754</v>
      </c>
      <c r="AP66" s="83" t="s">
        <v>150</v>
      </c>
      <c r="AQ66" s="4">
        <f t="shared" si="17"/>
        <v>0</v>
      </c>
    </row>
    <row r="67" spans="1:43" ht="15" hidden="1" customHeight="1" thickBot="1" x14ac:dyDescent="0.25">
      <c r="A67" s="488"/>
      <c r="B67" s="465"/>
      <c r="C67" s="8" t="s">
        <v>2</v>
      </c>
      <c r="D67" s="7"/>
      <c r="E67" s="52"/>
      <c r="F67" s="6">
        <f>SUM(F61:F66)</f>
        <v>202150.05</v>
      </c>
      <c r="G67" s="5">
        <f>SUM(G61:G66)</f>
        <v>1.8259700626078069E-3</v>
      </c>
      <c r="H67" s="488"/>
      <c r="I67" s="465"/>
      <c r="J67" s="8" t="s">
        <v>2</v>
      </c>
      <c r="K67" s="7"/>
      <c r="L67" s="52"/>
      <c r="M67" s="51">
        <f>$F$67/$G$2*H2</f>
        <v>95349.86910401647</v>
      </c>
      <c r="N67" s="5">
        <f>SUM(N61:N66)</f>
        <v>0</v>
      </c>
      <c r="O67" s="488"/>
      <c r="P67" s="465"/>
      <c r="Q67" s="8" t="s">
        <v>2</v>
      </c>
      <c r="R67" s="7"/>
      <c r="S67" s="52"/>
      <c r="T67" s="51">
        <f>$F$67/$G$2*I2</f>
        <v>416.37497425334703</v>
      </c>
      <c r="U67" s="5">
        <f>SUM(U61:U66)</f>
        <v>0</v>
      </c>
      <c r="V67" s="488"/>
      <c r="W67" s="465"/>
      <c r="X67" s="8" t="s">
        <v>2</v>
      </c>
      <c r="Y67" s="7"/>
      <c r="Z67" s="52"/>
      <c r="AA67" s="51">
        <f>$F$67/$G$2*J2</f>
        <v>90561.55690010298</v>
      </c>
      <c r="AB67" s="5">
        <f>SUM(AB61:AB66)</f>
        <v>0</v>
      </c>
      <c r="AC67" s="488"/>
      <c r="AD67" s="465"/>
      <c r="AE67" s="8" t="s">
        <v>2</v>
      </c>
      <c r="AF67" s="7"/>
      <c r="AG67" s="52"/>
      <c r="AH67" s="51">
        <f>$F$67/$G$2*K2</f>
        <v>416.37497425334703</v>
      </c>
      <c r="AI67" s="369">
        <f>SUM(AI61:AI66)</f>
        <v>0</v>
      </c>
      <c r="AJ67" s="512"/>
      <c r="AK67" s="464"/>
      <c r="AL67" s="271" t="s">
        <v>2</v>
      </c>
      <c r="AM67" s="266"/>
      <c r="AN67" s="82"/>
      <c r="AO67" s="267">
        <f>$F$67/$G$2*L2</f>
        <v>15405.87404737384</v>
      </c>
      <c r="AP67" s="268">
        <f>SUM(AP61:AP66)</f>
        <v>0</v>
      </c>
      <c r="AQ67" s="4">
        <f t="shared" si="17"/>
        <v>0</v>
      </c>
    </row>
    <row r="68" spans="1:43" ht="15" thickBot="1" x14ac:dyDescent="0.25">
      <c r="A68" s="488"/>
      <c r="B68" s="464"/>
      <c r="C68" s="466" t="s">
        <v>39</v>
      </c>
      <c r="D68" s="466"/>
      <c r="E68" s="466"/>
      <c r="F68" s="466"/>
      <c r="G68" s="467"/>
      <c r="H68" s="488"/>
      <c r="I68" s="464"/>
      <c r="J68" s="466" t="s">
        <v>39</v>
      </c>
      <c r="K68" s="468"/>
      <c r="L68" s="468"/>
      <c r="M68" s="468"/>
      <c r="N68" s="469"/>
      <c r="O68" s="488"/>
      <c r="P68" s="464"/>
      <c r="Q68" s="466" t="s">
        <v>39</v>
      </c>
      <c r="R68" s="468"/>
      <c r="S68" s="468"/>
      <c r="T68" s="468"/>
      <c r="U68" s="469"/>
      <c r="V68" s="488"/>
      <c r="W68" s="464"/>
      <c r="X68" s="466" t="s">
        <v>39</v>
      </c>
      <c r="Y68" s="468"/>
      <c r="Z68" s="468"/>
      <c r="AA68" s="468"/>
      <c r="AB68" s="469"/>
      <c r="AC68" s="488"/>
      <c r="AD68" s="464"/>
      <c r="AE68" s="466" t="s">
        <v>39</v>
      </c>
      <c r="AF68" s="466"/>
      <c r="AG68" s="468"/>
      <c r="AH68" s="468"/>
      <c r="AI68" s="468"/>
      <c r="AJ68" s="512"/>
      <c r="AK68" s="464"/>
      <c r="AL68" s="470" t="s">
        <v>39</v>
      </c>
      <c r="AM68" s="466"/>
      <c r="AN68" s="466"/>
      <c r="AO68" s="466"/>
      <c r="AP68" s="467"/>
      <c r="AQ68" s="4">
        <f t="shared" si="17"/>
        <v>0</v>
      </c>
    </row>
    <row r="69" spans="1:43" ht="60" customHeight="1" thickBot="1" x14ac:dyDescent="0.25">
      <c r="A69" s="488"/>
      <c r="B69" s="464"/>
      <c r="C69" s="47" t="s">
        <v>38</v>
      </c>
      <c r="D69" s="50" t="s">
        <v>37</v>
      </c>
      <c r="E69" s="40">
        <v>49</v>
      </c>
      <c r="F69" s="39">
        <v>22262958.999999996</v>
      </c>
      <c r="G69" s="49">
        <f>E69/F69</f>
        <v>2.2009652894747734E-6</v>
      </c>
      <c r="H69" s="488"/>
      <c r="I69" s="464"/>
      <c r="J69" s="48" t="s">
        <v>38</v>
      </c>
      <c r="K69" s="31" t="s">
        <v>37</v>
      </c>
      <c r="L69" s="41">
        <f>$G$69*M69</f>
        <v>23.112255406797122</v>
      </c>
      <c r="M69" s="12">
        <v>10500963.153450051</v>
      </c>
      <c r="N69" s="31"/>
      <c r="O69" s="472"/>
      <c r="P69" s="464"/>
      <c r="Q69" s="48" t="s">
        <v>38</v>
      </c>
      <c r="R69" s="31" t="s">
        <v>37</v>
      </c>
      <c r="S69" s="41">
        <f>$G$69*T69</f>
        <v>0.10092687950566429</v>
      </c>
      <c r="T69" s="12">
        <v>45855.734294541711</v>
      </c>
      <c r="U69" s="31"/>
      <c r="V69" s="472"/>
      <c r="W69" s="464"/>
      <c r="X69" s="48" t="s">
        <v>38</v>
      </c>
      <c r="Y69" s="31" t="s">
        <v>37</v>
      </c>
      <c r="Z69" s="41">
        <f>$G$69*AA69</f>
        <v>21.951596292481984</v>
      </c>
      <c r="AA69" s="12">
        <v>9973622.2090628222</v>
      </c>
      <c r="AB69" s="31"/>
      <c r="AC69" s="472"/>
      <c r="AD69" s="464"/>
      <c r="AE69" s="47" t="s">
        <v>38</v>
      </c>
      <c r="AF69" s="46" t="s">
        <v>37</v>
      </c>
      <c r="AG69" s="41">
        <f>$G$69*AH69</f>
        <v>0.10092687950566429</v>
      </c>
      <c r="AH69" s="12">
        <v>45855.734294541711</v>
      </c>
      <c r="AI69" s="42"/>
      <c r="AJ69" s="512"/>
      <c r="AK69" s="464"/>
      <c r="AL69" s="279" t="s">
        <v>38</v>
      </c>
      <c r="AM69" s="128" t="s">
        <v>37</v>
      </c>
      <c r="AN69" s="322">
        <f>$G$69*AO69</f>
        <v>3.7342945417095783</v>
      </c>
      <c r="AO69" s="244">
        <v>1696662.1688980432</v>
      </c>
      <c r="AP69" s="340" t="s">
        <v>164</v>
      </c>
      <c r="AQ69" s="4">
        <f t="shared" si="17"/>
        <v>-1.1990408665951691E-14</v>
      </c>
    </row>
    <row r="70" spans="1:43" ht="15" hidden="1" customHeight="1" thickBot="1" x14ac:dyDescent="0.25">
      <c r="A70" s="488"/>
      <c r="B70" s="465"/>
      <c r="C70" s="43"/>
      <c r="D70" s="31"/>
      <c r="E70" s="45"/>
      <c r="F70" s="32"/>
      <c r="G70" s="31"/>
      <c r="H70" s="488"/>
      <c r="I70" s="465"/>
      <c r="J70" s="44"/>
      <c r="K70" s="31"/>
      <c r="L70" s="41"/>
      <c r="M70" s="32"/>
      <c r="N70" s="31"/>
      <c r="O70" s="472"/>
      <c r="P70" s="465"/>
      <c r="Q70" s="44"/>
      <c r="R70" s="31"/>
      <c r="S70" s="41"/>
      <c r="T70" s="32"/>
      <c r="U70" s="31"/>
      <c r="V70" s="472"/>
      <c r="W70" s="465"/>
      <c r="X70" s="44"/>
      <c r="Y70" s="31"/>
      <c r="Z70" s="41"/>
      <c r="AA70" s="32"/>
      <c r="AB70" s="31"/>
      <c r="AC70" s="472"/>
      <c r="AD70" s="465"/>
      <c r="AE70" s="43"/>
      <c r="AF70" s="42"/>
      <c r="AG70" s="41"/>
      <c r="AH70" s="32"/>
      <c r="AI70" s="42"/>
      <c r="AJ70" s="512"/>
      <c r="AK70" s="464"/>
      <c r="AL70" s="207"/>
      <c r="AM70" s="31"/>
      <c r="AN70" s="41"/>
      <c r="AO70" s="32"/>
      <c r="AP70" s="71"/>
      <c r="AQ70" s="4">
        <f t="shared" si="17"/>
        <v>0</v>
      </c>
    </row>
    <row r="71" spans="1:43" ht="15" hidden="1" customHeight="1" thickBot="1" x14ac:dyDescent="0.25">
      <c r="A71" s="488"/>
      <c r="B71" s="465"/>
      <c r="C71" s="43"/>
      <c r="D71" s="31"/>
      <c r="E71" s="45"/>
      <c r="F71" s="32"/>
      <c r="G71" s="31"/>
      <c r="H71" s="488"/>
      <c r="I71" s="465"/>
      <c r="J71" s="44"/>
      <c r="K71" s="31"/>
      <c r="L71" s="41"/>
      <c r="M71" s="32"/>
      <c r="N71" s="31"/>
      <c r="O71" s="472"/>
      <c r="P71" s="465"/>
      <c r="Q71" s="44"/>
      <c r="R71" s="31"/>
      <c r="S71" s="41"/>
      <c r="T71" s="32"/>
      <c r="U71" s="31"/>
      <c r="V71" s="472"/>
      <c r="W71" s="465"/>
      <c r="X71" s="44"/>
      <c r="Y71" s="31"/>
      <c r="Z71" s="41"/>
      <c r="AA71" s="32"/>
      <c r="AB71" s="31"/>
      <c r="AC71" s="472"/>
      <c r="AD71" s="465"/>
      <c r="AE71" s="43"/>
      <c r="AF71" s="42"/>
      <c r="AG71" s="41"/>
      <c r="AH71" s="32"/>
      <c r="AI71" s="42"/>
      <c r="AJ71" s="512"/>
      <c r="AK71" s="464"/>
      <c r="AL71" s="207"/>
      <c r="AM71" s="31"/>
      <c r="AN71" s="41"/>
      <c r="AO71" s="32"/>
      <c r="AP71" s="71"/>
      <c r="AQ71" s="4">
        <f t="shared" si="17"/>
        <v>0</v>
      </c>
    </row>
    <row r="72" spans="1:43" ht="15" hidden="1" customHeight="1" thickBot="1" x14ac:dyDescent="0.25">
      <c r="A72" s="488"/>
      <c r="B72" s="465"/>
      <c r="C72" s="43"/>
      <c r="D72" s="31"/>
      <c r="E72" s="45"/>
      <c r="F72" s="32"/>
      <c r="G72" s="31"/>
      <c r="H72" s="488"/>
      <c r="I72" s="465"/>
      <c r="J72" s="44"/>
      <c r="K72" s="31"/>
      <c r="L72" s="41"/>
      <c r="M72" s="32"/>
      <c r="N72" s="31"/>
      <c r="O72" s="472"/>
      <c r="P72" s="465"/>
      <c r="Q72" s="44"/>
      <c r="R72" s="31"/>
      <c r="S72" s="41"/>
      <c r="T72" s="32"/>
      <c r="U72" s="31"/>
      <c r="V72" s="472"/>
      <c r="W72" s="465"/>
      <c r="X72" s="44"/>
      <c r="Y72" s="31"/>
      <c r="Z72" s="41"/>
      <c r="AA72" s="32"/>
      <c r="AB72" s="31"/>
      <c r="AC72" s="472"/>
      <c r="AD72" s="465"/>
      <c r="AE72" s="43"/>
      <c r="AF72" s="42"/>
      <c r="AG72" s="41"/>
      <c r="AH72" s="32"/>
      <c r="AI72" s="42"/>
      <c r="AJ72" s="512"/>
      <c r="AK72" s="464"/>
      <c r="AL72" s="207"/>
      <c r="AM72" s="31"/>
      <c r="AN72" s="41"/>
      <c r="AO72" s="32"/>
      <c r="AP72" s="71"/>
      <c r="AQ72" s="4">
        <f t="shared" si="17"/>
        <v>0</v>
      </c>
    </row>
    <row r="73" spans="1:43" ht="15" hidden="1" customHeight="1" thickBot="1" x14ac:dyDescent="0.25">
      <c r="A73" s="488"/>
      <c r="B73" s="465"/>
      <c r="C73" s="43"/>
      <c r="D73" s="31"/>
      <c r="E73" s="45"/>
      <c r="F73" s="32"/>
      <c r="G73" s="31"/>
      <c r="H73" s="488"/>
      <c r="I73" s="465"/>
      <c r="J73" s="44"/>
      <c r="K73" s="31"/>
      <c r="L73" s="41"/>
      <c r="M73" s="32"/>
      <c r="N73" s="31"/>
      <c r="O73" s="472"/>
      <c r="P73" s="465"/>
      <c r="Q73" s="44"/>
      <c r="R73" s="31"/>
      <c r="S73" s="41"/>
      <c r="T73" s="32"/>
      <c r="U73" s="31"/>
      <c r="V73" s="472"/>
      <c r="W73" s="465"/>
      <c r="X73" s="44"/>
      <c r="Y73" s="31"/>
      <c r="Z73" s="41"/>
      <c r="AA73" s="32"/>
      <c r="AB73" s="31"/>
      <c r="AC73" s="472"/>
      <c r="AD73" s="465"/>
      <c r="AE73" s="43"/>
      <c r="AF73" s="42"/>
      <c r="AG73" s="41"/>
      <c r="AH73" s="32"/>
      <c r="AI73" s="42"/>
      <c r="AJ73" s="512"/>
      <c r="AK73" s="464"/>
      <c r="AL73" s="207"/>
      <c r="AM73" s="31"/>
      <c r="AN73" s="41"/>
      <c r="AO73" s="32"/>
      <c r="AP73" s="71"/>
      <c r="AQ73" s="4">
        <f t="shared" si="17"/>
        <v>0</v>
      </c>
    </row>
    <row r="74" spans="1:43" ht="15" hidden="1" customHeight="1" thickBot="1" x14ac:dyDescent="0.25">
      <c r="A74" s="488"/>
      <c r="B74" s="465"/>
      <c r="C74" s="43"/>
      <c r="D74" s="31"/>
      <c r="E74" s="45"/>
      <c r="F74" s="32"/>
      <c r="G74" s="31"/>
      <c r="H74" s="488"/>
      <c r="I74" s="465"/>
      <c r="J74" s="44"/>
      <c r="K74" s="31"/>
      <c r="L74" s="41"/>
      <c r="M74" s="32"/>
      <c r="N74" s="31"/>
      <c r="O74" s="472"/>
      <c r="P74" s="465"/>
      <c r="Q74" s="44"/>
      <c r="R74" s="31"/>
      <c r="S74" s="41"/>
      <c r="T74" s="32"/>
      <c r="U74" s="31"/>
      <c r="V74" s="472"/>
      <c r="W74" s="465"/>
      <c r="X74" s="44"/>
      <c r="Y74" s="31"/>
      <c r="Z74" s="41"/>
      <c r="AA74" s="32"/>
      <c r="AB74" s="31"/>
      <c r="AC74" s="472"/>
      <c r="AD74" s="465"/>
      <c r="AE74" s="43"/>
      <c r="AF74" s="42"/>
      <c r="AG74" s="41"/>
      <c r="AH74" s="32"/>
      <c r="AI74" s="42"/>
      <c r="AJ74" s="512"/>
      <c r="AK74" s="464"/>
      <c r="AL74" s="207"/>
      <c r="AM74" s="31"/>
      <c r="AN74" s="41"/>
      <c r="AO74" s="32"/>
      <c r="AP74" s="71"/>
      <c r="AQ74" s="4">
        <f t="shared" si="17"/>
        <v>0</v>
      </c>
    </row>
    <row r="75" spans="1:43" ht="15" hidden="1" customHeight="1" thickBot="1" x14ac:dyDescent="0.25">
      <c r="A75" s="488"/>
      <c r="B75" s="465"/>
      <c r="C75" s="43"/>
      <c r="D75" s="31"/>
      <c r="E75" s="45"/>
      <c r="F75" s="32"/>
      <c r="G75" s="31"/>
      <c r="H75" s="488"/>
      <c r="I75" s="465"/>
      <c r="J75" s="44"/>
      <c r="K75" s="31"/>
      <c r="L75" s="41"/>
      <c r="M75" s="32"/>
      <c r="N75" s="31"/>
      <c r="O75" s="472"/>
      <c r="P75" s="465"/>
      <c r="Q75" s="44"/>
      <c r="R75" s="31"/>
      <c r="S75" s="41"/>
      <c r="T75" s="32"/>
      <c r="U75" s="31"/>
      <c r="V75" s="472"/>
      <c r="W75" s="465"/>
      <c r="X75" s="44"/>
      <c r="Y75" s="31"/>
      <c r="Z75" s="41"/>
      <c r="AA75" s="32"/>
      <c r="AB75" s="31"/>
      <c r="AC75" s="472"/>
      <c r="AD75" s="465"/>
      <c r="AE75" s="43"/>
      <c r="AF75" s="42"/>
      <c r="AG75" s="41"/>
      <c r="AH75" s="32"/>
      <c r="AI75" s="42"/>
      <c r="AJ75" s="512"/>
      <c r="AK75" s="464"/>
      <c r="AL75" s="207"/>
      <c r="AM75" s="31"/>
      <c r="AN75" s="41"/>
      <c r="AO75" s="32"/>
      <c r="AP75" s="71"/>
      <c r="AQ75" s="4">
        <f t="shared" si="17"/>
        <v>0</v>
      </c>
    </row>
    <row r="76" spans="1:43" ht="15" hidden="1" customHeight="1" thickBot="1" x14ac:dyDescent="0.25">
      <c r="A76" s="488"/>
      <c r="B76" s="465"/>
      <c r="C76" s="43"/>
      <c r="D76" s="31"/>
      <c r="E76" s="45"/>
      <c r="F76" s="32"/>
      <c r="G76" s="31"/>
      <c r="H76" s="488"/>
      <c r="I76" s="465"/>
      <c r="J76" s="44"/>
      <c r="K76" s="31"/>
      <c r="L76" s="41"/>
      <c r="M76" s="32"/>
      <c r="N76" s="31"/>
      <c r="O76" s="472"/>
      <c r="P76" s="465"/>
      <c r="Q76" s="44"/>
      <c r="R76" s="31"/>
      <c r="S76" s="41"/>
      <c r="T76" s="32"/>
      <c r="U76" s="31"/>
      <c r="V76" s="472"/>
      <c r="W76" s="465"/>
      <c r="X76" s="44"/>
      <c r="Y76" s="31"/>
      <c r="Z76" s="41"/>
      <c r="AA76" s="32"/>
      <c r="AB76" s="31"/>
      <c r="AC76" s="472"/>
      <c r="AD76" s="465"/>
      <c r="AE76" s="43"/>
      <c r="AF76" s="42"/>
      <c r="AG76" s="41"/>
      <c r="AH76" s="32"/>
      <c r="AI76" s="42"/>
      <c r="AJ76" s="512"/>
      <c r="AK76" s="464"/>
      <c r="AL76" s="207"/>
      <c r="AM76" s="31"/>
      <c r="AN76" s="41"/>
      <c r="AO76" s="32"/>
      <c r="AP76" s="71"/>
      <c r="AQ76" s="4">
        <f t="shared" ref="AQ76:AQ107" si="24">E76-L76-S76-Z76-AG76-AN76</f>
        <v>0</v>
      </c>
    </row>
    <row r="77" spans="1:43" ht="15" hidden="1" customHeight="1" thickBot="1" x14ac:dyDescent="0.25">
      <c r="A77" s="488"/>
      <c r="B77" s="465"/>
      <c r="C77" s="43"/>
      <c r="D77" s="31"/>
      <c r="E77" s="45"/>
      <c r="F77" s="32"/>
      <c r="G77" s="31"/>
      <c r="H77" s="488"/>
      <c r="I77" s="465"/>
      <c r="J77" s="44"/>
      <c r="K77" s="31"/>
      <c r="L77" s="41"/>
      <c r="M77" s="32"/>
      <c r="N77" s="31"/>
      <c r="O77" s="472"/>
      <c r="P77" s="465"/>
      <c r="Q77" s="44"/>
      <c r="R77" s="31"/>
      <c r="S77" s="41"/>
      <c r="T77" s="32"/>
      <c r="U77" s="31"/>
      <c r="V77" s="472"/>
      <c r="W77" s="465"/>
      <c r="X77" s="44"/>
      <c r="Y77" s="31"/>
      <c r="Z77" s="41"/>
      <c r="AA77" s="32"/>
      <c r="AB77" s="31"/>
      <c r="AC77" s="472"/>
      <c r="AD77" s="465"/>
      <c r="AE77" s="43"/>
      <c r="AF77" s="42"/>
      <c r="AG77" s="41"/>
      <c r="AH77" s="32"/>
      <c r="AI77" s="42"/>
      <c r="AJ77" s="512"/>
      <c r="AK77" s="464"/>
      <c r="AL77" s="207"/>
      <c r="AM77" s="31"/>
      <c r="AN77" s="41"/>
      <c r="AO77" s="32"/>
      <c r="AP77" s="71"/>
      <c r="AQ77" s="4">
        <f t="shared" si="24"/>
        <v>0</v>
      </c>
    </row>
    <row r="78" spans="1:43" ht="15" hidden="1" customHeight="1" thickBot="1" x14ac:dyDescent="0.25">
      <c r="A78" s="488"/>
      <c r="B78" s="465"/>
      <c r="C78" s="43"/>
      <c r="D78" s="31"/>
      <c r="E78" s="45"/>
      <c r="F78" s="32"/>
      <c r="G78" s="31"/>
      <c r="H78" s="488"/>
      <c r="I78" s="465"/>
      <c r="J78" s="44"/>
      <c r="K78" s="31"/>
      <c r="L78" s="41"/>
      <c r="M78" s="32"/>
      <c r="N78" s="31"/>
      <c r="O78" s="472"/>
      <c r="P78" s="465"/>
      <c r="Q78" s="44"/>
      <c r="R78" s="31"/>
      <c r="S78" s="41"/>
      <c r="T78" s="32"/>
      <c r="U78" s="31"/>
      <c r="V78" s="472"/>
      <c r="W78" s="465"/>
      <c r="X78" s="44"/>
      <c r="Y78" s="31"/>
      <c r="Z78" s="41"/>
      <c r="AA78" s="32"/>
      <c r="AB78" s="31"/>
      <c r="AC78" s="472"/>
      <c r="AD78" s="465"/>
      <c r="AE78" s="43"/>
      <c r="AF78" s="42"/>
      <c r="AG78" s="41"/>
      <c r="AH78" s="32"/>
      <c r="AI78" s="42"/>
      <c r="AJ78" s="512"/>
      <c r="AK78" s="464"/>
      <c r="AL78" s="207"/>
      <c r="AM78" s="31"/>
      <c r="AN78" s="41"/>
      <c r="AO78" s="32"/>
      <c r="AP78" s="71"/>
      <c r="AQ78" s="4">
        <f t="shared" si="24"/>
        <v>0</v>
      </c>
    </row>
    <row r="79" spans="1:43" ht="15" hidden="1" customHeight="1" thickBot="1" x14ac:dyDescent="0.25">
      <c r="A79" s="488"/>
      <c r="B79" s="465"/>
      <c r="C79" s="43"/>
      <c r="D79" s="31"/>
      <c r="E79" s="45"/>
      <c r="F79" s="32"/>
      <c r="G79" s="31"/>
      <c r="H79" s="488"/>
      <c r="I79" s="465"/>
      <c r="J79" s="44"/>
      <c r="K79" s="31"/>
      <c r="L79" s="41"/>
      <c r="M79" s="32"/>
      <c r="N79" s="31"/>
      <c r="O79" s="472"/>
      <c r="P79" s="465"/>
      <c r="Q79" s="44"/>
      <c r="R79" s="31"/>
      <c r="S79" s="41"/>
      <c r="T79" s="32"/>
      <c r="U79" s="31"/>
      <c r="V79" s="472"/>
      <c r="W79" s="465"/>
      <c r="X79" s="44"/>
      <c r="Y79" s="31"/>
      <c r="Z79" s="41"/>
      <c r="AA79" s="32"/>
      <c r="AB79" s="31"/>
      <c r="AC79" s="472"/>
      <c r="AD79" s="465"/>
      <c r="AE79" s="43"/>
      <c r="AF79" s="42"/>
      <c r="AG79" s="41"/>
      <c r="AH79" s="32"/>
      <c r="AI79" s="42"/>
      <c r="AJ79" s="512"/>
      <c r="AK79" s="464"/>
      <c r="AL79" s="207"/>
      <c r="AM79" s="31"/>
      <c r="AN79" s="41"/>
      <c r="AO79" s="32"/>
      <c r="AP79" s="71"/>
      <c r="AQ79" s="4">
        <f t="shared" si="24"/>
        <v>0</v>
      </c>
    </row>
    <row r="80" spans="1:43" ht="15" hidden="1" customHeight="1" thickBot="1" x14ac:dyDescent="0.25">
      <c r="A80" s="488"/>
      <c r="B80" s="465"/>
      <c r="C80" s="43"/>
      <c r="D80" s="31"/>
      <c r="E80" s="45"/>
      <c r="F80" s="32"/>
      <c r="G80" s="31"/>
      <c r="H80" s="488"/>
      <c r="I80" s="465"/>
      <c r="J80" s="44"/>
      <c r="K80" s="31"/>
      <c r="L80" s="41"/>
      <c r="M80" s="32"/>
      <c r="N80" s="31"/>
      <c r="O80" s="472"/>
      <c r="P80" s="465"/>
      <c r="Q80" s="44"/>
      <c r="R80" s="31"/>
      <c r="S80" s="41"/>
      <c r="T80" s="32"/>
      <c r="U80" s="31"/>
      <c r="V80" s="472"/>
      <c r="W80" s="465"/>
      <c r="X80" s="44"/>
      <c r="Y80" s="31"/>
      <c r="Z80" s="41"/>
      <c r="AA80" s="32"/>
      <c r="AB80" s="31"/>
      <c r="AC80" s="472"/>
      <c r="AD80" s="465"/>
      <c r="AE80" s="43"/>
      <c r="AF80" s="42"/>
      <c r="AG80" s="41"/>
      <c r="AH80" s="32"/>
      <c r="AI80" s="42"/>
      <c r="AJ80" s="512"/>
      <c r="AK80" s="464"/>
      <c r="AL80" s="207"/>
      <c r="AM80" s="31"/>
      <c r="AN80" s="41"/>
      <c r="AO80" s="32"/>
      <c r="AP80" s="71"/>
      <c r="AQ80" s="4">
        <f t="shared" si="24"/>
        <v>0</v>
      </c>
    </row>
    <row r="81" spans="1:43" ht="15" hidden="1" customHeight="1" thickBot="1" x14ac:dyDescent="0.25">
      <c r="A81" s="488"/>
      <c r="B81" s="465"/>
      <c r="C81" s="43"/>
      <c r="D81" s="31"/>
      <c r="E81" s="45"/>
      <c r="F81" s="32"/>
      <c r="G81" s="31"/>
      <c r="H81" s="488"/>
      <c r="I81" s="465"/>
      <c r="J81" s="44"/>
      <c r="K81" s="31"/>
      <c r="L81" s="41"/>
      <c r="M81" s="32"/>
      <c r="N81" s="31"/>
      <c r="O81" s="472"/>
      <c r="P81" s="465"/>
      <c r="Q81" s="44"/>
      <c r="R81" s="31"/>
      <c r="S81" s="41"/>
      <c r="T81" s="32"/>
      <c r="U81" s="31"/>
      <c r="V81" s="472"/>
      <c r="W81" s="465"/>
      <c r="X81" s="44"/>
      <c r="Y81" s="31"/>
      <c r="Z81" s="41"/>
      <c r="AA81" s="32"/>
      <c r="AB81" s="31"/>
      <c r="AC81" s="472"/>
      <c r="AD81" s="465"/>
      <c r="AE81" s="43"/>
      <c r="AF81" s="42"/>
      <c r="AG81" s="41"/>
      <c r="AH81" s="32"/>
      <c r="AI81" s="42"/>
      <c r="AJ81" s="512"/>
      <c r="AK81" s="464"/>
      <c r="AL81" s="207"/>
      <c r="AM81" s="31"/>
      <c r="AN81" s="41"/>
      <c r="AO81" s="32"/>
      <c r="AP81" s="71"/>
      <c r="AQ81" s="4">
        <f t="shared" si="24"/>
        <v>0</v>
      </c>
    </row>
    <row r="82" spans="1:43" ht="15" hidden="1" customHeight="1" thickBot="1" x14ac:dyDescent="0.25">
      <c r="A82" s="488"/>
      <c r="B82" s="465"/>
      <c r="C82" s="43"/>
      <c r="D82" s="31"/>
      <c r="E82" s="45"/>
      <c r="F82" s="32"/>
      <c r="G82" s="31"/>
      <c r="H82" s="488"/>
      <c r="I82" s="465"/>
      <c r="J82" s="44"/>
      <c r="K82" s="31"/>
      <c r="L82" s="41"/>
      <c r="M82" s="32"/>
      <c r="N82" s="31"/>
      <c r="O82" s="472"/>
      <c r="P82" s="465"/>
      <c r="Q82" s="44"/>
      <c r="R82" s="31"/>
      <c r="S82" s="41"/>
      <c r="T82" s="32"/>
      <c r="U82" s="31"/>
      <c r="V82" s="472"/>
      <c r="W82" s="465"/>
      <c r="X82" s="44"/>
      <c r="Y82" s="31"/>
      <c r="Z82" s="41"/>
      <c r="AA82" s="32"/>
      <c r="AB82" s="31"/>
      <c r="AC82" s="472"/>
      <c r="AD82" s="465"/>
      <c r="AE82" s="43"/>
      <c r="AF82" s="42"/>
      <c r="AG82" s="41"/>
      <c r="AH82" s="32"/>
      <c r="AI82" s="42"/>
      <c r="AJ82" s="512"/>
      <c r="AK82" s="464"/>
      <c r="AL82" s="207"/>
      <c r="AM82" s="31"/>
      <c r="AN82" s="41"/>
      <c r="AO82" s="32"/>
      <c r="AP82" s="71"/>
      <c r="AQ82" s="4">
        <f t="shared" si="24"/>
        <v>0</v>
      </c>
    </row>
    <row r="83" spans="1:43" ht="15" hidden="1" customHeight="1" thickBot="1" x14ac:dyDescent="0.25">
      <c r="A83" s="488"/>
      <c r="B83" s="465"/>
      <c r="C83" s="43"/>
      <c r="D83" s="31"/>
      <c r="E83" s="45"/>
      <c r="F83" s="32"/>
      <c r="G83" s="31"/>
      <c r="H83" s="488"/>
      <c r="I83" s="465"/>
      <c r="J83" s="44"/>
      <c r="K83" s="31"/>
      <c r="L83" s="41"/>
      <c r="M83" s="32"/>
      <c r="N83" s="31"/>
      <c r="O83" s="472"/>
      <c r="P83" s="465"/>
      <c r="Q83" s="44"/>
      <c r="R83" s="31"/>
      <c r="S83" s="41"/>
      <c r="T83" s="32"/>
      <c r="U83" s="31"/>
      <c r="V83" s="472"/>
      <c r="W83" s="465"/>
      <c r="X83" s="44"/>
      <c r="Y83" s="31"/>
      <c r="Z83" s="41"/>
      <c r="AA83" s="32"/>
      <c r="AB83" s="31"/>
      <c r="AC83" s="472"/>
      <c r="AD83" s="465"/>
      <c r="AE83" s="43"/>
      <c r="AF83" s="42"/>
      <c r="AG83" s="41"/>
      <c r="AH83" s="32"/>
      <c r="AI83" s="42"/>
      <c r="AJ83" s="512"/>
      <c r="AK83" s="464"/>
      <c r="AL83" s="207"/>
      <c r="AM83" s="31"/>
      <c r="AN83" s="41"/>
      <c r="AO83" s="32"/>
      <c r="AP83" s="71"/>
      <c r="AQ83" s="4">
        <f t="shared" si="24"/>
        <v>0</v>
      </c>
    </row>
    <row r="84" spans="1:43" ht="15" hidden="1" customHeight="1" thickBot="1" x14ac:dyDescent="0.25">
      <c r="A84" s="488"/>
      <c r="B84" s="465"/>
      <c r="C84" s="43"/>
      <c r="D84" s="31"/>
      <c r="E84" s="45"/>
      <c r="F84" s="32"/>
      <c r="G84" s="31"/>
      <c r="H84" s="488"/>
      <c r="I84" s="465"/>
      <c r="J84" s="44"/>
      <c r="K84" s="31"/>
      <c r="L84" s="41"/>
      <c r="M84" s="32"/>
      <c r="N84" s="31"/>
      <c r="O84" s="472"/>
      <c r="P84" s="465"/>
      <c r="Q84" s="44"/>
      <c r="R84" s="31"/>
      <c r="S84" s="41"/>
      <c r="T84" s="32"/>
      <c r="U84" s="31"/>
      <c r="V84" s="472"/>
      <c r="W84" s="465"/>
      <c r="X84" s="44"/>
      <c r="Y84" s="31"/>
      <c r="Z84" s="41"/>
      <c r="AA84" s="32"/>
      <c r="AB84" s="31"/>
      <c r="AC84" s="472"/>
      <c r="AD84" s="465"/>
      <c r="AE84" s="43"/>
      <c r="AF84" s="42"/>
      <c r="AG84" s="41"/>
      <c r="AH84" s="32"/>
      <c r="AI84" s="42"/>
      <c r="AJ84" s="512"/>
      <c r="AK84" s="464"/>
      <c r="AL84" s="207"/>
      <c r="AM84" s="31"/>
      <c r="AN84" s="41"/>
      <c r="AO84" s="32"/>
      <c r="AP84" s="71"/>
      <c r="AQ84" s="4">
        <f t="shared" si="24"/>
        <v>0</v>
      </c>
    </row>
    <row r="85" spans="1:43" ht="15" hidden="1" customHeight="1" thickBot="1" x14ac:dyDescent="0.25">
      <c r="A85" s="488"/>
      <c r="B85" s="465"/>
      <c r="C85" s="43"/>
      <c r="D85" s="31"/>
      <c r="E85" s="45"/>
      <c r="F85" s="32"/>
      <c r="G85" s="31"/>
      <c r="H85" s="488"/>
      <c r="I85" s="465"/>
      <c r="J85" s="44"/>
      <c r="K85" s="31"/>
      <c r="L85" s="41"/>
      <c r="M85" s="32"/>
      <c r="N85" s="31"/>
      <c r="O85" s="472"/>
      <c r="P85" s="465"/>
      <c r="Q85" s="44"/>
      <c r="R85" s="31"/>
      <c r="S85" s="41"/>
      <c r="T85" s="32"/>
      <c r="U85" s="31"/>
      <c r="V85" s="472"/>
      <c r="W85" s="465"/>
      <c r="X85" s="44"/>
      <c r="Y85" s="31"/>
      <c r="Z85" s="41"/>
      <c r="AA85" s="32"/>
      <c r="AB85" s="31"/>
      <c r="AC85" s="472"/>
      <c r="AD85" s="465"/>
      <c r="AE85" s="43"/>
      <c r="AF85" s="42"/>
      <c r="AG85" s="41"/>
      <c r="AH85" s="32"/>
      <c r="AI85" s="42"/>
      <c r="AJ85" s="512"/>
      <c r="AK85" s="464"/>
      <c r="AL85" s="207"/>
      <c r="AM85" s="31"/>
      <c r="AN85" s="41"/>
      <c r="AO85" s="32"/>
      <c r="AP85" s="71"/>
      <c r="AQ85" s="4">
        <f t="shared" si="24"/>
        <v>0</v>
      </c>
    </row>
    <row r="86" spans="1:43" ht="15" hidden="1" customHeight="1" thickBot="1" x14ac:dyDescent="0.25">
      <c r="A86" s="488"/>
      <c r="B86" s="465"/>
      <c r="C86" s="43"/>
      <c r="D86" s="31"/>
      <c r="E86" s="45"/>
      <c r="F86" s="32"/>
      <c r="G86" s="31"/>
      <c r="H86" s="488"/>
      <c r="I86" s="465"/>
      <c r="J86" s="44"/>
      <c r="K86" s="31"/>
      <c r="L86" s="41"/>
      <c r="M86" s="32"/>
      <c r="N86" s="31"/>
      <c r="O86" s="472"/>
      <c r="P86" s="465"/>
      <c r="Q86" s="44"/>
      <c r="R86" s="31"/>
      <c r="S86" s="41"/>
      <c r="T86" s="32"/>
      <c r="U86" s="31"/>
      <c r="V86" s="472"/>
      <c r="W86" s="465"/>
      <c r="X86" s="44"/>
      <c r="Y86" s="31"/>
      <c r="Z86" s="41"/>
      <c r="AA86" s="32"/>
      <c r="AB86" s="31"/>
      <c r="AC86" s="472"/>
      <c r="AD86" s="465"/>
      <c r="AE86" s="43"/>
      <c r="AF86" s="42"/>
      <c r="AG86" s="41"/>
      <c r="AH86" s="32"/>
      <c r="AI86" s="42"/>
      <c r="AJ86" s="512"/>
      <c r="AK86" s="464"/>
      <c r="AL86" s="207"/>
      <c r="AM86" s="31"/>
      <c r="AN86" s="41"/>
      <c r="AO86" s="32"/>
      <c r="AP86" s="71"/>
      <c r="AQ86" s="4">
        <f t="shared" si="24"/>
        <v>0</v>
      </c>
    </row>
    <row r="87" spans="1:43" ht="15" hidden="1" customHeight="1" thickBot="1" x14ac:dyDescent="0.25">
      <c r="A87" s="488"/>
      <c r="B87" s="465"/>
      <c r="C87" s="43"/>
      <c r="D87" s="31"/>
      <c r="E87" s="45"/>
      <c r="F87" s="32"/>
      <c r="G87" s="31"/>
      <c r="H87" s="488"/>
      <c r="I87" s="465"/>
      <c r="J87" s="44"/>
      <c r="K87" s="31"/>
      <c r="L87" s="41"/>
      <c r="M87" s="32"/>
      <c r="N87" s="31"/>
      <c r="O87" s="472"/>
      <c r="P87" s="465"/>
      <c r="Q87" s="44"/>
      <c r="R87" s="31"/>
      <c r="S87" s="41"/>
      <c r="T87" s="32"/>
      <c r="U87" s="31"/>
      <c r="V87" s="472"/>
      <c r="W87" s="465"/>
      <c r="X87" s="44"/>
      <c r="Y87" s="31"/>
      <c r="Z87" s="41"/>
      <c r="AA87" s="32"/>
      <c r="AB87" s="31"/>
      <c r="AC87" s="472"/>
      <c r="AD87" s="465"/>
      <c r="AE87" s="43"/>
      <c r="AF87" s="42"/>
      <c r="AG87" s="41"/>
      <c r="AH87" s="32"/>
      <c r="AI87" s="42"/>
      <c r="AJ87" s="512"/>
      <c r="AK87" s="464"/>
      <c r="AL87" s="207"/>
      <c r="AM87" s="31"/>
      <c r="AN87" s="41"/>
      <c r="AO87" s="32"/>
      <c r="AP87" s="71"/>
      <c r="AQ87" s="4">
        <f t="shared" si="24"/>
        <v>0</v>
      </c>
    </row>
    <row r="88" spans="1:43" ht="15" hidden="1" customHeight="1" thickBot="1" x14ac:dyDescent="0.25">
      <c r="A88" s="488"/>
      <c r="B88" s="465"/>
      <c r="C88" s="43"/>
      <c r="D88" s="31"/>
      <c r="E88" s="45"/>
      <c r="F88" s="32"/>
      <c r="G88" s="31"/>
      <c r="H88" s="488"/>
      <c r="I88" s="465"/>
      <c r="J88" s="44"/>
      <c r="K88" s="31"/>
      <c r="L88" s="41"/>
      <c r="M88" s="32"/>
      <c r="N88" s="31"/>
      <c r="O88" s="472"/>
      <c r="P88" s="465"/>
      <c r="Q88" s="44"/>
      <c r="R88" s="31"/>
      <c r="S88" s="41"/>
      <c r="T88" s="32"/>
      <c r="U88" s="31"/>
      <c r="V88" s="472"/>
      <c r="W88" s="465"/>
      <c r="X88" s="44"/>
      <c r="Y88" s="31"/>
      <c r="Z88" s="41"/>
      <c r="AA88" s="32"/>
      <c r="AB88" s="31"/>
      <c r="AC88" s="472"/>
      <c r="AD88" s="465"/>
      <c r="AE88" s="43"/>
      <c r="AF88" s="42"/>
      <c r="AG88" s="41"/>
      <c r="AH88" s="32"/>
      <c r="AI88" s="42"/>
      <c r="AJ88" s="512"/>
      <c r="AK88" s="464"/>
      <c r="AL88" s="207"/>
      <c r="AM88" s="31"/>
      <c r="AN88" s="41"/>
      <c r="AO88" s="32"/>
      <c r="AP88" s="71"/>
      <c r="AQ88" s="4">
        <f t="shared" si="24"/>
        <v>0</v>
      </c>
    </row>
    <row r="89" spans="1:43" ht="15" hidden="1" customHeight="1" thickBot="1" x14ac:dyDescent="0.25">
      <c r="A89" s="488"/>
      <c r="B89" s="465"/>
      <c r="C89" s="43"/>
      <c r="D89" s="31"/>
      <c r="E89" s="45"/>
      <c r="F89" s="32"/>
      <c r="G89" s="31"/>
      <c r="H89" s="488"/>
      <c r="I89" s="465"/>
      <c r="J89" s="44"/>
      <c r="K89" s="31"/>
      <c r="L89" s="41"/>
      <c r="M89" s="32"/>
      <c r="N89" s="31"/>
      <c r="O89" s="472"/>
      <c r="P89" s="465"/>
      <c r="Q89" s="44"/>
      <c r="R89" s="31"/>
      <c r="S89" s="41"/>
      <c r="T89" s="32"/>
      <c r="U89" s="31"/>
      <c r="V89" s="472"/>
      <c r="W89" s="465"/>
      <c r="X89" s="44"/>
      <c r="Y89" s="31"/>
      <c r="Z89" s="41"/>
      <c r="AA89" s="32"/>
      <c r="AB89" s="31"/>
      <c r="AC89" s="472"/>
      <c r="AD89" s="465"/>
      <c r="AE89" s="43"/>
      <c r="AF89" s="42"/>
      <c r="AG89" s="41"/>
      <c r="AH89" s="32"/>
      <c r="AI89" s="42"/>
      <c r="AJ89" s="512"/>
      <c r="AK89" s="464"/>
      <c r="AL89" s="207"/>
      <c r="AM89" s="31"/>
      <c r="AN89" s="41"/>
      <c r="AO89" s="32"/>
      <c r="AP89" s="71"/>
      <c r="AQ89" s="4">
        <f t="shared" si="24"/>
        <v>0</v>
      </c>
    </row>
    <row r="90" spans="1:43" ht="15" hidden="1" customHeight="1" thickBot="1" x14ac:dyDescent="0.25">
      <c r="A90" s="488"/>
      <c r="B90" s="465"/>
      <c r="C90" s="43"/>
      <c r="D90" s="31"/>
      <c r="E90" s="45"/>
      <c r="F90" s="32"/>
      <c r="G90" s="31"/>
      <c r="H90" s="488"/>
      <c r="I90" s="465"/>
      <c r="J90" s="44"/>
      <c r="K90" s="31"/>
      <c r="L90" s="41"/>
      <c r="M90" s="32"/>
      <c r="N90" s="31"/>
      <c r="O90" s="472"/>
      <c r="P90" s="465"/>
      <c r="Q90" s="44"/>
      <c r="R90" s="31"/>
      <c r="S90" s="41"/>
      <c r="T90" s="32"/>
      <c r="U90" s="31"/>
      <c r="V90" s="472"/>
      <c r="W90" s="465"/>
      <c r="X90" s="44"/>
      <c r="Y90" s="31"/>
      <c r="Z90" s="41"/>
      <c r="AA90" s="32"/>
      <c r="AB90" s="31"/>
      <c r="AC90" s="472"/>
      <c r="AD90" s="465"/>
      <c r="AE90" s="43"/>
      <c r="AF90" s="42"/>
      <c r="AG90" s="41"/>
      <c r="AH90" s="32"/>
      <c r="AI90" s="42"/>
      <c r="AJ90" s="512"/>
      <c r="AK90" s="464"/>
      <c r="AL90" s="207"/>
      <c r="AM90" s="31"/>
      <c r="AN90" s="41"/>
      <c r="AO90" s="32"/>
      <c r="AP90" s="71"/>
      <c r="AQ90" s="4">
        <f t="shared" si="24"/>
        <v>0</v>
      </c>
    </row>
    <row r="91" spans="1:43" ht="15" hidden="1" customHeight="1" thickBot="1" x14ac:dyDescent="0.25">
      <c r="A91" s="488"/>
      <c r="B91" s="464"/>
      <c r="C91" s="38"/>
      <c r="D91" s="38"/>
      <c r="E91" s="40">
        <v>49</v>
      </c>
      <c r="F91" s="39">
        <v>22262958.999999996</v>
      </c>
      <c r="G91" s="38"/>
      <c r="H91" s="488"/>
      <c r="I91" s="464"/>
      <c r="J91" s="9"/>
      <c r="K91" s="31"/>
      <c r="L91" s="37">
        <f>SUM(L69:L90)</f>
        <v>23.112255406797122</v>
      </c>
      <c r="M91" s="32">
        <f>SUM(M69:M90)</f>
        <v>10500963.153450051</v>
      </c>
      <c r="N91" s="31"/>
      <c r="O91" s="472"/>
      <c r="P91" s="464"/>
      <c r="Q91" s="9"/>
      <c r="R91" s="31"/>
      <c r="S91" s="37">
        <f>SUM(S69:S90)</f>
        <v>0.10092687950566429</v>
      </c>
      <c r="T91" s="32">
        <f>SUM(T69:T90)</f>
        <v>45855.734294541711</v>
      </c>
      <c r="U91" s="31"/>
      <c r="V91" s="472"/>
      <c r="W91" s="464"/>
      <c r="X91" s="9"/>
      <c r="Y91" s="31"/>
      <c r="Z91" s="37">
        <f>SUM(Z69:Z90)</f>
        <v>21.951596292481984</v>
      </c>
      <c r="AA91" s="32">
        <f>SUM(AA69:AA90)</f>
        <v>9973622.2090628222</v>
      </c>
      <c r="AB91" s="31"/>
      <c r="AC91" s="472"/>
      <c r="AD91" s="464"/>
      <c r="AE91" s="38"/>
      <c r="AF91" s="9"/>
      <c r="AG91" s="37">
        <f>SUM(AG69:AG90)</f>
        <v>0.10092687950566429</v>
      </c>
      <c r="AH91" s="32">
        <f>SUM(AH69:AH90)</f>
        <v>45855.734294541711</v>
      </c>
      <c r="AI91" s="42"/>
      <c r="AJ91" s="512"/>
      <c r="AK91" s="464"/>
      <c r="AL91" s="254"/>
      <c r="AM91" s="14"/>
      <c r="AN91" s="251">
        <f>SUM(AN69:AN90)</f>
        <v>3.7342945417095783</v>
      </c>
      <c r="AO91" s="19">
        <f>SUM(AO69:AO90)</f>
        <v>1696662.1688980432</v>
      </c>
      <c r="AP91" s="219"/>
      <c r="AQ91" s="4">
        <f t="shared" si="24"/>
        <v>-1.1990408665951691E-14</v>
      </c>
    </row>
    <row r="92" spans="1:43" ht="15" thickBot="1" x14ac:dyDescent="0.25">
      <c r="A92" s="488"/>
      <c r="B92" s="464"/>
      <c r="C92" s="468" t="s">
        <v>36</v>
      </c>
      <c r="D92" s="468"/>
      <c r="E92" s="468"/>
      <c r="F92" s="468"/>
      <c r="G92" s="469"/>
      <c r="H92" s="488"/>
      <c r="I92" s="464"/>
      <c r="J92" s="468" t="s">
        <v>36</v>
      </c>
      <c r="K92" s="471"/>
      <c r="L92" s="471"/>
      <c r="M92" s="471"/>
      <c r="N92" s="472"/>
      <c r="O92" s="488"/>
      <c r="P92" s="464"/>
      <c r="Q92" s="468" t="s">
        <v>36</v>
      </c>
      <c r="R92" s="471"/>
      <c r="S92" s="471"/>
      <c r="T92" s="471"/>
      <c r="U92" s="472"/>
      <c r="V92" s="488"/>
      <c r="W92" s="464"/>
      <c r="X92" s="468" t="s">
        <v>36</v>
      </c>
      <c r="Y92" s="471"/>
      <c r="Z92" s="471"/>
      <c r="AA92" s="471"/>
      <c r="AB92" s="472"/>
      <c r="AC92" s="488"/>
      <c r="AD92" s="464"/>
      <c r="AE92" s="468" t="s">
        <v>36</v>
      </c>
      <c r="AF92" s="468"/>
      <c r="AG92" s="471"/>
      <c r="AH92" s="471"/>
      <c r="AI92" s="471"/>
      <c r="AJ92" s="512"/>
      <c r="AK92" s="464"/>
      <c r="AL92" s="514" t="s">
        <v>36</v>
      </c>
      <c r="AM92" s="504"/>
      <c r="AN92" s="504"/>
      <c r="AO92" s="504"/>
      <c r="AP92" s="505"/>
      <c r="AQ92" s="4">
        <f t="shared" si="24"/>
        <v>0</v>
      </c>
    </row>
    <row r="93" spans="1:43" ht="25.5" x14ac:dyDescent="0.2">
      <c r="A93" s="488"/>
      <c r="B93" s="465"/>
      <c r="C93" s="34" t="s">
        <v>35</v>
      </c>
      <c r="D93" s="31" t="s">
        <v>12</v>
      </c>
      <c r="E93" s="32">
        <v>1</v>
      </c>
      <c r="F93" s="32">
        <v>50000</v>
      </c>
      <c r="G93" s="31">
        <f t="shared" ref="G93:G120" si="25">E93/F93</f>
        <v>2.0000000000000002E-5</v>
      </c>
      <c r="H93" s="488"/>
      <c r="I93" s="465"/>
      <c r="J93" s="34" t="s">
        <v>35</v>
      </c>
      <c r="K93" s="31" t="s">
        <v>12</v>
      </c>
      <c r="L93" s="13">
        <f>$G$93*M93-0.1</f>
        <v>0.37167868480617539</v>
      </c>
      <c r="M93" s="12">
        <f t="shared" ref="M93:M115" si="26">$N$126/($F$121-558160)*F93</f>
        <v>23583.934240308768</v>
      </c>
      <c r="N93" s="31"/>
      <c r="O93" s="488"/>
      <c r="P93" s="465"/>
      <c r="Q93" s="34" t="s">
        <v>35</v>
      </c>
      <c r="R93" s="31" t="s">
        <v>12</v>
      </c>
      <c r="S93" s="13">
        <f>$G$93*T93+0.1</f>
        <v>0.10205973357432295</v>
      </c>
      <c r="T93" s="12">
        <f t="shared" ref="T93:T115" si="27">$U$126/($F$121-558160)*F93</f>
        <v>102.98667871614751</v>
      </c>
      <c r="U93" s="31"/>
      <c r="V93" s="488"/>
      <c r="W93" s="465"/>
      <c r="X93" s="34" t="s">
        <v>35</v>
      </c>
      <c r="Y93" s="31" t="s">
        <v>12</v>
      </c>
      <c r="Z93" s="13">
        <f>$G$93*AA93-0.1</f>
        <v>0.34799176468639736</v>
      </c>
      <c r="AA93" s="20">
        <f t="shared" ref="AA93:AA115" si="28">$AB$126/($F$121-558160)*F93</f>
        <v>22399.588234319865</v>
      </c>
      <c r="AB93" s="31"/>
      <c r="AC93" s="488"/>
      <c r="AD93" s="465"/>
      <c r="AE93" s="34" t="s">
        <v>35</v>
      </c>
      <c r="AF93" s="31" t="s">
        <v>12</v>
      </c>
      <c r="AG93" s="13">
        <f>$G$93*AH93+0.1</f>
        <v>0.10205973357432295</v>
      </c>
      <c r="AH93" s="12">
        <f t="shared" ref="AH93:AH115" si="29">$AI$126/($F$121-558160)*F93</f>
        <v>102.98667871614751</v>
      </c>
      <c r="AI93" s="42"/>
      <c r="AJ93" s="512"/>
      <c r="AK93" s="464"/>
      <c r="AL93" s="255" t="s">
        <v>35</v>
      </c>
      <c r="AM93" s="128" t="s">
        <v>12</v>
      </c>
      <c r="AN93" s="243">
        <f>$G$93*AO93</f>
        <v>7.6210092769164794E-2</v>
      </c>
      <c r="AO93" s="244">
        <f t="shared" ref="AO93:AO115" si="30">$AP$125/($F$121-558160)*F93</f>
        <v>3810.5046384582392</v>
      </c>
      <c r="AP93" s="340" t="s">
        <v>150</v>
      </c>
      <c r="AQ93" s="4">
        <f t="shared" si="24"/>
        <v>-9.4103834585856916E-9</v>
      </c>
    </row>
    <row r="94" spans="1:43" ht="25.5" x14ac:dyDescent="0.2">
      <c r="A94" s="488"/>
      <c r="B94" s="465"/>
      <c r="C94" s="34" t="s">
        <v>34</v>
      </c>
      <c r="D94" s="31" t="s">
        <v>12</v>
      </c>
      <c r="E94" s="32">
        <v>1</v>
      </c>
      <c r="F94" s="32">
        <v>9126.25</v>
      </c>
      <c r="G94" s="31">
        <f t="shared" si="25"/>
        <v>1.0957403095466375E-4</v>
      </c>
      <c r="H94" s="488"/>
      <c r="I94" s="465"/>
      <c r="J94" s="34" t="s">
        <v>34</v>
      </c>
      <c r="K94" s="31" t="s">
        <v>12</v>
      </c>
      <c r="L94" s="13">
        <f>$G$94*M94-0.1</f>
        <v>0.37167868480617539</v>
      </c>
      <c r="M94" s="12">
        <f t="shared" si="26"/>
        <v>4304.6575972123583</v>
      </c>
      <c r="N94" s="31"/>
      <c r="O94" s="488"/>
      <c r="P94" s="465"/>
      <c r="Q94" s="34" t="s">
        <v>34</v>
      </c>
      <c r="R94" s="31" t="s">
        <v>12</v>
      </c>
      <c r="S94" s="13">
        <f>$G$94*T94+0.1</f>
        <v>0.10205973357432295</v>
      </c>
      <c r="T94" s="12">
        <f t="shared" si="27"/>
        <v>18.797643532664825</v>
      </c>
      <c r="U94" s="31"/>
      <c r="V94" s="488"/>
      <c r="W94" s="465"/>
      <c r="X94" s="34" t="s">
        <v>34</v>
      </c>
      <c r="Y94" s="31" t="s">
        <v>12</v>
      </c>
      <c r="Z94" s="13">
        <f>$G$94*AA94-0.1</f>
        <v>0.34799176468639725</v>
      </c>
      <c r="AA94" s="20">
        <f t="shared" si="28"/>
        <v>4088.4848424692332</v>
      </c>
      <c r="AB94" s="31"/>
      <c r="AC94" s="488"/>
      <c r="AD94" s="465"/>
      <c r="AE94" s="34" t="s">
        <v>34</v>
      </c>
      <c r="AF94" s="31" t="s">
        <v>12</v>
      </c>
      <c r="AG94" s="13">
        <f>$G$94*AH94+0.1</f>
        <v>0.10205973357432295</v>
      </c>
      <c r="AH94" s="12">
        <f t="shared" si="29"/>
        <v>18.797643532664825</v>
      </c>
      <c r="AI94" s="42"/>
      <c r="AJ94" s="512"/>
      <c r="AK94" s="464"/>
      <c r="AL94" s="209" t="s">
        <v>34</v>
      </c>
      <c r="AM94" s="31" t="s">
        <v>12</v>
      </c>
      <c r="AN94" s="13">
        <f>$G$94*AO94</f>
        <v>7.6210092769164781E-2</v>
      </c>
      <c r="AO94" s="12">
        <f t="shared" si="30"/>
        <v>695.51235913459004</v>
      </c>
      <c r="AP94" s="71" t="s">
        <v>150</v>
      </c>
      <c r="AQ94" s="4">
        <f t="shared" si="24"/>
        <v>-9.4103833336856013E-9</v>
      </c>
    </row>
    <row r="95" spans="1:43" x14ac:dyDescent="0.2">
      <c r="A95" s="488"/>
      <c r="B95" s="465"/>
      <c r="C95" s="34" t="s">
        <v>33</v>
      </c>
      <c r="D95" s="31" t="s">
        <v>12</v>
      </c>
      <c r="E95" s="32">
        <v>1</v>
      </c>
      <c r="F95" s="32">
        <v>33053.599999999999</v>
      </c>
      <c r="G95" s="35">
        <f t="shared" si="25"/>
        <v>3.0253890650337634E-5</v>
      </c>
      <c r="H95" s="488"/>
      <c r="I95" s="465"/>
      <c r="J95" s="34" t="s">
        <v>33</v>
      </c>
      <c r="K95" s="31" t="s">
        <v>12</v>
      </c>
      <c r="L95" s="13">
        <f>$G$95*M95-0.1</f>
        <v>0.37167868480617539</v>
      </c>
      <c r="M95" s="12">
        <f t="shared" si="26"/>
        <v>15590.678576109398</v>
      </c>
      <c r="N95" s="31"/>
      <c r="O95" s="488"/>
      <c r="P95" s="465"/>
      <c r="Q95" s="34" t="s">
        <v>33</v>
      </c>
      <c r="R95" s="31" t="s">
        <v>12</v>
      </c>
      <c r="S95" s="13">
        <f>$G$95*T95+0.1</f>
        <v>0.10205973357432295</v>
      </c>
      <c r="T95" s="12">
        <f t="shared" si="27"/>
        <v>68.081609672241058</v>
      </c>
      <c r="U95" s="31"/>
      <c r="V95" s="488"/>
      <c r="W95" s="465"/>
      <c r="X95" s="34" t="s">
        <v>33</v>
      </c>
      <c r="Y95" s="31" t="s">
        <v>12</v>
      </c>
      <c r="Z95" s="13">
        <f>$G$95*AA95-0.1</f>
        <v>0.34799176468639725</v>
      </c>
      <c r="AA95" s="20">
        <f t="shared" si="28"/>
        <v>14807.740593238301</v>
      </c>
      <c r="AB95" s="31"/>
      <c r="AC95" s="488"/>
      <c r="AD95" s="465"/>
      <c r="AE95" s="34" t="s">
        <v>33</v>
      </c>
      <c r="AF95" s="31" t="s">
        <v>12</v>
      </c>
      <c r="AG95" s="13">
        <f>$G$95*AH95+0.1</f>
        <v>0.10205973357432295</v>
      </c>
      <c r="AH95" s="12">
        <f t="shared" si="29"/>
        <v>68.081609672241058</v>
      </c>
      <c r="AI95" s="42"/>
      <c r="AJ95" s="512"/>
      <c r="AK95" s="464"/>
      <c r="AL95" s="209" t="s">
        <v>33</v>
      </c>
      <c r="AM95" s="31" t="s">
        <v>12</v>
      </c>
      <c r="AN95" s="13">
        <f>$G$95*AO95</f>
        <v>7.6210092769164781E-2</v>
      </c>
      <c r="AO95" s="12">
        <f t="shared" si="30"/>
        <v>2519.0179223548648</v>
      </c>
      <c r="AP95" s="71" t="s">
        <v>150</v>
      </c>
      <c r="AQ95" s="4">
        <f t="shared" si="24"/>
        <v>-9.4103833336856013E-9</v>
      </c>
    </row>
    <row r="96" spans="1:43" x14ac:dyDescent="0.2">
      <c r="A96" s="488"/>
      <c r="B96" s="465"/>
      <c r="C96" s="34" t="s">
        <v>32</v>
      </c>
      <c r="D96" s="31" t="s">
        <v>12</v>
      </c>
      <c r="E96" s="32">
        <v>1</v>
      </c>
      <c r="F96" s="32">
        <v>5736.5</v>
      </c>
      <c r="G96" s="35">
        <f t="shared" si="25"/>
        <v>1.743223219733287E-4</v>
      </c>
      <c r="H96" s="488"/>
      <c r="I96" s="465"/>
      <c r="J96" s="34" t="s">
        <v>32</v>
      </c>
      <c r="K96" s="31" t="s">
        <v>12</v>
      </c>
      <c r="L96" s="13">
        <f>$G$96*M96-0.1</f>
        <v>0.37167868480617539</v>
      </c>
      <c r="M96" s="12">
        <f t="shared" si="26"/>
        <v>2705.7847753906249</v>
      </c>
      <c r="N96" s="31"/>
      <c r="O96" s="488"/>
      <c r="P96" s="465"/>
      <c r="Q96" s="34" t="s">
        <v>32</v>
      </c>
      <c r="R96" s="31" t="s">
        <v>12</v>
      </c>
      <c r="S96" s="13">
        <f>$G$96*T96+0.1</f>
        <v>0.10205973357432295</v>
      </c>
      <c r="T96" s="12">
        <f t="shared" si="27"/>
        <v>11.815661649103603</v>
      </c>
      <c r="U96" s="31"/>
      <c r="V96" s="488"/>
      <c r="W96" s="465"/>
      <c r="X96" s="34" t="s">
        <v>32</v>
      </c>
      <c r="Y96" s="31" t="s">
        <v>12</v>
      </c>
      <c r="Z96" s="13">
        <f>$G$96*AA96-0.1</f>
        <v>0.34799176468639736</v>
      </c>
      <c r="AA96" s="20">
        <f t="shared" si="28"/>
        <v>2569.9047581235181</v>
      </c>
      <c r="AB96" s="31"/>
      <c r="AC96" s="488"/>
      <c r="AD96" s="465"/>
      <c r="AE96" s="34" t="s">
        <v>32</v>
      </c>
      <c r="AF96" s="31" t="s">
        <v>12</v>
      </c>
      <c r="AG96" s="13">
        <f>$G$96*AH96+0.1</f>
        <v>0.10205973357432295</v>
      </c>
      <c r="AH96" s="12">
        <f t="shared" si="29"/>
        <v>11.815661649103603</v>
      </c>
      <c r="AI96" s="42"/>
      <c r="AJ96" s="512"/>
      <c r="AK96" s="464"/>
      <c r="AL96" s="209" t="s">
        <v>32</v>
      </c>
      <c r="AM96" s="31" t="s">
        <v>12</v>
      </c>
      <c r="AN96" s="13">
        <f>$G$96*AO96</f>
        <v>7.6210092769164794E-2</v>
      </c>
      <c r="AO96" s="12">
        <f t="shared" si="30"/>
        <v>437.17919717031378</v>
      </c>
      <c r="AP96" s="71" t="s">
        <v>150</v>
      </c>
      <c r="AQ96" s="4">
        <f t="shared" si="24"/>
        <v>-9.4103834585856916E-9</v>
      </c>
    </row>
    <row r="97" spans="1:43" ht="25.5" x14ac:dyDescent="0.2">
      <c r="A97" s="488"/>
      <c r="B97" s="465"/>
      <c r="C97" s="34" t="s">
        <v>31</v>
      </c>
      <c r="D97" s="31" t="s">
        <v>12</v>
      </c>
      <c r="E97" s="32">
        <v>1</v>
      </c>
      <c r="F97" s="32">
        <v>62315</v>
      </c>
      <c r="G97" s="35">
        <f t="shared" si="25"/>
        <v>1.6047500601781271E-5</v>
      </c>
      <c r="H97" s="488"/>
      <c r="I97" s="465"/>
      <c r="J97" s="34" t="s">
        <v>31</v>
      </c>
      <c r="K97" s="31" t="s">
        <v>12</v>
      </c>
      <c r="L97" s="13">
        <f>$G$97*M97-0.1</f>
        <v>0.37167868480617527</v>
      </c>
      <c r="M97" s="12">
        <f t="shared" si="26"/>
        <v>29392.657243696816</v>
      </c>
      <c r="N97" s="31"/>
      <c r="O97" s="488"/>
      <c r="P97" s="465"/>
      <c r="Q97" s="34" t="s">
        <v>31</v>
      </c>
      <c r="R97" s="31" t="s">
        <v>12</v>
      </c>
      <c r="S97" s="13">
        <f>$G$97*T97+0.1</f>
        <v>0.10205973357432295</v>
      </c>
      <c r="T97" s="12">
        <f t="shared" si="27"/>
        <v>128.35229768393464</v>
      </c>
      <c r="U97" s="31"/>
      <c r="V97" s="488"/>
      <c r="W97" s="465"/>
      <c r="X97" s="34" t="s">
        <v>31</v>
      </c>
      <c r="Y97" s="31" t="s">
        <v>12</v>
      </c>
      <c r="Z97" s="13">
        <f>$G$97*AA97-0.1</f>
        <v>0.34799176468639725</v>
      </c>
      <c r="AA97" s="20">
        <f t="shared" si="28"/>
        <v>27916.606816432846</v>
      </c>
      <c r="AB97" s="31"/>
      <c r="AC97" s="488"/>
      <c r="AD97" s="465"/>
      <c r="AE97" s="34" t="s">
        <v>31</v>
      </c>
      <c r="AF97" s="31" t="s">
        <v>12</v>
      </c>
      <c r="AG97" s="13">
        <f>$G$97*AH97+0.1</f>
        <v>0.10205973357432295</v>
      </c>
      <c r="AH97" s="12">
        <f t="shared" si="29"/>
        <v>128.35229768393464</v>
      </c>
      <c r="AI97" s="42"/>
      <c r="AJ97" s="512"/>
      <c r="AK97" s="464"/>
      <c r="AL97" s="209" t="s">
        <v>31</v>
      </c>
      <c r="AM97" s="31" t="s">
        <v>12</v>
      </c>
      <c r="AN97" s="13">
        <f>$G$97*AO97</f>
        <v>7.6210092769164781E-2</v>
      </c>
      <c r="AO97" s="12">
        <f t="shared" si="30"/>
        <v>4749.0319309105034</v>
      </c>
      <c r="AP97" s="71" t="s">
        <v>150</v>
      </c>
      <c r="AQ97" s="4">
        <f t="shared" si="24"/>
        <v>-9.4103832226632989E-9</v>
      </c>
    </row>
    <row r="98" spans="1:43" ht="25.5" x14ac:dyDescent="0.2">
      <c r="A98" s="488"/>
      <c r="B98" s="465"/>
      <c r="C98" s="34" t="s">
        <v>30</v>
      </c>
      <c r="D98" s="31" t="s">
        <v>12</v>
      </c>
      <c r="E98" s="32">
        <v>1</v>
      </c>
      <c r="F98" s="32">
        <v>68806.719999999987</v>
      </c>
      <c r="G98" s="35">
        <f t="shared" si="25"/>
        <v>1.45334641732668E-5</v>
      </c>
      <c r="H98" s="488"/>
      <c r="I98" s="465"/>
      <c r="J98" s="34" t="s">
        <v>30</v>
      </c>
      <c r="K98" s="31" t="s">
        <v>12</v>
      </c>
      <c r="L98" s="13">
        <f>$G$98*M98-0.1</f>
        <v>0.37167868480617539</v>
      </c>
      <c r="M98" s="12">
        <f t="shared" si="26"/>
        <v>32454.663195426758</v>
      </c>
      <c r="N98" s="31"/>
      <c r="O98" s="488"/>
      <c r="P98" s="465"/>
      <c r="Q98" s="34" t="s">
        <v>30</v>
      </c>
      <c r="R98" s="31" t="s">
        <v>12</v>
      </c>
      <c r="S98" s="13">
        <f>$G$98*T98+0.1</f>
        <v>0.10205973357432295</v>
      </c>
      <c r="T98" s="12">
        <f t="shared" si="27"/>
        <v>141.72351132303839</v>
      </c>
      <c r="U98" s="31"/>
      <c r="V98" s="488"/>
      <c r="W98" s="465"/>
      <c r="X98" s="34" t="s">
        <v>30</v>
      </c>
      <c r="Y98" s="31" t="s">
        <v>12</v>
      </c>
      <c r="Z98" s="13">
        <f>$G$98*AA98-0.1</f>
        <v>0.34799176468639725</v>
      </c>
      <c r="AA98" s="20">
        <f t="shared" si="28"/>
        <v>30824.84391508282</v>
      </c>
      <c r="AB98" s="31"/>
      <c r="AC98" s="488"/>
      <c r="AD98" s="465"/>
      <c r="AE98" s="34" t="s">
        <v>30</v>
      </c>
      <c r="AF98" s="31" t="s">
        <v>12</v>
      </c>
      <c r="AG98" s="13">
        <f>$G$98*AH98+0.1</f>
        <v>0.10205973357432295</v>
      </c>
      <c r="AH98" s="12">
        <f t="shared" si="29"/>
        <v>141.72351132303839</v>
      </c>
      <c r="AI98" s="42"/>
      <c r="AJ98" s="512"/>
      <c r="AK98" s="464"/>
      <c r="AL98" s="209" t="s">
        <v>30</v>
      </c>
      <c r="AM98" s="31" t="s">
        <v>12</v>
      </c>
      <c r="AN98" s="13">
        <f>$G$98*AO98</f>
        <v>7.6210092769164781E-2</v>
      </c>
      <c r="AO98" s="12">
        <f t="shared" si="30"/>
        <v>5243.7665143419445</v>
      </c>
      <c r="AP98" s="71" t="s">
        <v>150</v>
      </c>
      <c r="AQ98" s="4">
        <f t="shared" si="24"/>
        <v>-9.4103833336856013E-9</v>
      </c>
    </row>
    <row r="99" spans="1:43" ht="25.5" x14ac:dyDescent="0.2">
      <c r="A99" s="488"/>
      <c r="B99" s="465"/>
      <c r="C99" s="34" t="s">
        <v>29</v>
      </c>
      <c r="D99" s="31" t="s">
        <v>12</v>
      </c>
      <c r="E99" s="32">
        <v>1</v>
      </c>
      <c r="F99" s="32">
        <v>17716.397999999997</v>
      </c>
      <c r="G99" s="35">
        <f t="shared" si="25"/>
        <v>5.644488230621146E-5</v>
      </c>
      <c r="H99" s="488"/>
      <c r="I99" s="465"/>
      <c r="J99" s="34" t="s">
        <v>29</v>
      </c>
      <c r="K99" s="31" t="s">
        <v>12</v>
      </c>
      <c r="L99" s="13">
        <f>$G$99*M99-0.1</f>
        <v>0.37167868480617539</v>
      </c>
      <c r="M99" s="12">
        <f t="shared" si="26"/>
        <v>8356.447308142755</v>
      </c>
      <c r="N99" s="31"/>
      <c r="O99" s="488"/>
      <c r="P99" s="465"/>
      <c r="Q99" s="34" t="s">
        <v>29</v>
      </c>
      <c r="R99" s="31" t="s">
        <v>12</v>
      </c>
      <c r="S99" s="13">
        <f>$G$99*T99+0.1</f>
        <v>0.10205973357432295</v>
      </c>
      <c r="T99" s="12">
        <f t="shared" si="27"/>
        <v>36.49105977666796</v>
      </c>
      <c r="U99" s="31"/>
      <c r="V99" s="488"/>
      <c r="W99" s="465"/>
      <c r="X99" s="34" t="s">
        <v>29</v>
      </c>
      <c r="Y99" s="31" t="s">
        <v>12</v>
      </c>
      <c r="Z99" s="13">
        <f>$G$99*AA99-0.1</f>
        <v>0.34799176468639725</v>
      </c>
      <c r="AA99" s="20">
        <f t="shared" si="28"/>
        <v>7936.8004039065581</v>
      </c>
      <c r="AB99" s="31"/>
      <c r="AC99" s="488"/>
      <c r="AD99" s="465"/>
      <c r="AE99" s="34" t="s">
        <v>29</v>
      </c>
      <c r="AF99" s="31" t="s">
        <v>12</v>
      </c>
      <c r="AG99" s="13">
        <f>$G$99*AH99+0.1</f>
        <v>0.10205973357432295</v>
      </c>
      <c r="AH99" s="12">
        <f t="shared" si="29"/>
        <v>36.49105977666796</v>
      </c>
      <c r="AI99" s="42"/>
      <c r="AJ99" s="512"/>
      <c r="AK99" s="464"/>
      <c r="AL99" s="209" t="s">
        <v>29</v>
      </c>
      <c r="AM99" s="31" t="s">
        <v>12</v>
      </c>
      <c r="AN99" s="13">
        <f>$G$99*AO99</f>
        <v>7.6210092769164781E-2</v>
      </c>
      <c r="AO99" s="12">
        <f t="shared" si="30"/>
        <v>1350.1683351154452</v>
      </c>
      <c r="AP99" s="71" t="s">
        <v>150</v>
      </c>
      <c r="AQ99" s="4">
        <f t="shared" si="24"/>
        <v>-9.4103833336856013E-9</v>
      </c>
    </row>
    <row r="100" spans="1:43" x14ac:dyDescent="0.2">
      <c r="A100" s="488"/>
      <c r="B100" s="465"/>
      <c r="C100" s="34" t="s">
        <v>28</v>
      </c>
      <c r="D100" s="31" t="s">
        <v>12</v>
      </c>
      <c r="E100" s="32">
        <v>1</v>
      </c>
      <c r="F100" s="32">
        <v>40856.213474999997</v>
      </c>
      <c r="G100" s="35">
        <f t="shared" si="25"/>
        <v>2.447608123576851E-5</v>
      </c>
      <c r="H100" s="488"/>
      <c r="I100" s="465"/>
      <c r="J100" s="34" t="s">
        <v>28</v>
      </c>
      <c r="K100" s="31" t="s">
        <v>12</v>
      </c>
      <c r="L100" s="13">
        <f>$G$100*M100-0.1</f>
        <v>0.37167868480617527</v>
      </c>
      <c r="M100" s="12">
        <f t="shared" si="26"/>
        <v>19271.005038048337</v>
      </c>
      <c r="N100" s="31"/>
      <c r="O100" s="488"/>
      <c r="P100" s="465"/>
      <c r="Q100" s="34" t="s">
        <v>28</v>
      </c>
      <c r="R100" s="31" t="s">
        <v>12</v>
      </c>
      <c r="S100" s="13">
        <f>$G$100*T100+0.1</f>
        <v>0.10205973357432295</v>
      </c>
      <c r="T100" s="12">
        <f t="shared" si="27"/>
        <v>84.152914614163222</v>
      </c>
      <c r="U100" s="31"/>
      <c r="V100" s="488"/>
      <c r="W100" s="465"/>
      <c r="X100" s="34" t="s">
        <v>28</v>
      </c>
      <c r="Y100" s="31" t="s">
        <v>12</v>
      </c>
      <c r="Z100" s="13">
        <f>$G$100*AA100-0.1</f>
        <v>0.34799176468639725</v>
      </c>
      <c r="AA100" s="20">
        <f t="shared" si="28"/>
        <v>18303.247173069412</v>
      </c>
      <c r="AB100" s="31"/>
      <c r="AC100" s="488"/>
      <c r="AD100" s="465"/>
      <c r="AE100" s="34" t="s">
        <v>28</v>
      </c>
      <c r="AF100" s="31" t="s">
        <v>12</v>
      </c>
      <c r="AG100" s="13">
        <f>$G$100*AH100+0.1</f>
        <v>0.10205973357432295</v>
      </c>
      <c r="AH100" s="12">
        <f t="shared" si="29"/>
        <v>84.152914614163222</v>
      </c>
      <c r="AI100" s="42"/>
      <c r="AJ100" s="512"/>
      <c r="AK100" s="464"/>
      <c r="AL100" s="209" t="s">
        <v>28</v>
      </c>
      <c r="AM100" s="31" t="s">
        <v>12</v>
      </c>
      <c r="AN100" s="13">
        <f>$G$100*AO100</f>
        <v>7.6210092769164781E-2</v>
      </c>
      <c r="AO100" s="12">
        <f t="shared" si="30"/>
        <v>3113.6558191265499</v>
      </c>
      <c r="AP100" s="71" t="s">
        <v>150</v>
      </c>
      <c r="AQ100" s="4">
        <f t="shared" si="24"/>
        <v>-9.4103832226632989E-9</v>
      </c>
    </row>
    <row r="101" spans="1:43" ht="25.5" x14ac:dyDescent="0.2">
      <c r="A101" s="488"/>
      <c r="B101" s="465"/>
      <c r="C101" s="34" t="s">
        <v>27</v>
      </c>
      <c r="D101" s="31" t="s">
        <v>12</v>
      </c>
      <c r="E101" s="32">
        <v>1</v>
      </c>
      <c r="F101" s="32">
        <v>50000</v>
      </c>
      <c r="G101" s="31">
        <f t="shared" si="25"/>
        <v>2.0000000000000002E-5</v>
      </c>
      <c r="H101" s="488"/>
      <c r="I101" s="465"/>
      <c r="J101" s="34" t="s">
        <v>27</v>
      </c>
      <c r="K101" s="31" t="s">
        <v>12</v>
      </c>
      <c r="L101" s="13">
        <f>$G$101*M101-0.1</f>
        <v>0.37167868480617539</v>
      </c>
      <c r="M101" s="12">
        <f t="shared" si="26"/>
        <v>23583.934240308768</v>
      </c>
      <c r="N101" s="31"/>
      <c r="O101" s="488"/>
      <c r="P101" s="465"/>
      <c r="Q101" s="34" t="s">
        <v>27</v>
      </c>
      <c r="R101" s="31" t="s">
        <v>12</v>
      </c>
      <c r="S101" s="13">
        <f>$G$101*T101+0.1</f>
        <v>0.10205973357432295</v>
      </c>
      <c r="T101" s="12">
        <f t="shared" si="27"/>
        <v>102.98667871614751</v>
      </c>
      <c r="U101" s="31"/>
      <c r="V101" s="488"/>
      <c r="W101" s="465"/>
      <c r="X101" s="34" t="s">
        <v>27</v>
      </c>
      <c r="Y101" s="31" t="s">
        <v>12</v>
      </c>
      <c r="Z101" s="13">
        <f>$G$101*AA101-0.1</f>
        <v>0.34799176468639736</v>
      </c>
      <c r="AA101" s="20">
        <f t="shared" si="28"/>
        <v>22399.588234319865</v>
      </c>
      <c r="AB101" s="31"/>
      <c r="AC101" s="488"/>
      <c r="AD101" s="465"/>
      <c r="AE101" s="34" t="s">
        <v>27</v>
      </c>
      <c r="AF101" s="31" t="s">
        <v>12</v>
      </c>
      <c r="AG101" s="13">
        <f>$G$101*AH101+0.1</f>
        <v>0.10205973357432295</v>
      </c>
      <c r="AH101" s="12">
        <f t="shared" si="29"/>
        <v>102.98667871614751</v>
      </c>
      <c r="AI101" s="42"/>
      <c r="AJ101" s="512"/>
      <c r="AK101" s="464"/>
      <c r="AL101" s="209" t="s">
        <v>27</v>
      </c>
      <c r="AM101" s="31" t="s">
        <v>12</v>
      </c>
      <c r="AN101" s="13">
        <f>$G$101*AO101</f>
        <v>7.6210092769164794E-2</v>
      </c>
      <c r="AO101" s="12">
        <f t="shared" si="30"/>
        <v>3810.5046384582392</v>
      </c>
      <c r="AP101" s="71" t="s">
        <v>150</v>
      </c>
      <c r="AQ101" s="4">
        <f t="shared" si="24"/>
        <v>-9.4103834585856916E-9</v>
      </c>
    </row>
    <row r="102" spans="1:43" ht="38.25" x14ac:dyDescent="0.2">
      <c r="A102" s="488"/>
      <c r="B102" s="465"/>
      <c r="C102" s="34" t="s">
        <v>26</v>
      </c>
      <c r="D102" s="31" t="s">
        <v>3</v>
      </c>
      <c r="E102" s="32">
        <v>125</v>
      </c>
      <c r="F102" s="32">
        <v>400000</v>
      </c>
      <c r="G102" s="31">
        <f t="shared" si="25"/>
        <v>3.1250000000000001E-4</v>
      </c>
      <c r="H102" s="488"/>
      <c r="I102" s="465"/>
      <c r="J102" s="34" t="s">
        <v>26</v>
      </c>
      <c r="K102" s="31" t="s">
        <v>3</v>
      </c>
      <c r="L102" s="13">
        <f>$G$102*M102</f>
        <v>58.959835600771925</v>
      </c>
      <c r="M102" s="12">
        <f t="shared" si="26"/>
        <v>188671.47392247015</v>
      </c>
      <c r="N102" s="31"/>
      <c r="O102" s="488"/>
      <c r="P102" s="465"/>
      <c r="Q102" s="34" t="s">
        <v>26</v>
      </c>
      <c r="R102" s="31" t="s">
        <v>3</v>
      </c>
      <c r="S102" s="13">
        <f>$G$102*T102</f>
        <v>0.25746669679036877</v>
      </c>
      <c r="T102" s="12">
        <f t="shared" si="27"/>
        <v>823.89342972918007</v>
      </c>
      <c r="U102" s="31"/>
      <c r="V102" s="488"/>
      <c r="W102" s="465"/>
      <c r="X102" s="34" t="s">
        <v>26</v>
      </c>
      <c r="Y102" s="31" t="s">
        <v>3</v>
      </c>
      <c r="Z102" s="13">
        <f>$G$102*AA102</f>
        <v>55.998970585799661</v>
      </c>
      <c r="AA102" s="20">
        <f t="shared" si="28"/>
        <v>179196.70587455892</v>
      </c>
      <c r="AB102" s="31"/>
      <c r="AC102" s="488"/>
      <c r="AD102" s="465"/>
      <c r="AE102" s="34" t="s">
        <v>26</v>
      </c>
      <c r="AF102" s="31" t="s">
        <v>3</v>
      </c>
      <c r="AG102" s="13">
        <f>$G$102*AH102</f>
        <v>0.25746669679036877</v>
      </c>
      <c r="AH102" s="12">
        <f t="shared" si="29"/>
        <v>823.89342972918007</v>
      </c>
      <c r="AI102" s="42"/>
      <c r="AJ102" s="512"/>
      <c r="AK102" s="464"/>
      <c r="AL102" s="209" t="s">
        <v>26</v>
      </c>
      <c r="AM102" s="31" t="s">
        <v>3</v>
      </c>
      <c r="AN102" s="13">
        <f>$G$102*AO102</f>
        <v>9.5262615961455985</v>
      </c>
      <c r="AO102" s="12">
        <f t="shared" si="30"/>
        <v>30484.037107665914</v>
      </c>
      <c r="AP102" s="71" t="s">
        <v>150</v>
      </c>
      <c r="AQ102" s="4">
        <f t="shared" si="24"/>
        <v>-1.1762979266194407E-6</v>
      </c>
    </row>
    <row r="103" spans="1:43" ht="63.75" x14ac:dyDescent="0.2">
      <c r="A103" s="488"/>
      <c r="B103" s="465"/>
      <c r="C103" s="34" t="s">
        <v>25</v>
      </c>
      <c r="D103" s="31" t="s">
        <v>3</v>
      </c>
      <c r="E103" s="32">
        <v>90</v>
      </c>
      <c r="F103" s="32">
        <v>135000</v>
      </c>
      <c r="G103" s="31">
        <f t="shared" si="25"/>
        <v>6.6666666666666664E-4</v>
      </c>
      <c r="H103" s="488"/>
      <c r="I103" s="465"/>
      <c r="J103" s="34" t="s">
        <v>25</v>
      </c>
      <c r="K103" s="31" t="s">
        <v>3</v>
      </c>
      <c r="L103" s="13">
        <f>$G$103*M103</f>
        <v>42.451081632555784</v>
      </c>
      <c r="M103" s="12">
        <f t="shared" si="26"/>
        <v>63676.622448833674</v>
      </c>
      <c r="N103" s="31"/>
      <c r="O103" s="488"/>
      <c r="P103" s="465"/>
      <c r="Q103" s="34" t="s">
        <v>25</v>
      </c>
      <c r="R103" s="31" t="s">
        <v>3</v>
      </c>
      <c r="S103" s="13">
        <f>$G$103*T103</f>
        <v>0.1853760216890655</v>
      </c>
      <c r="T103" s="12">
        <f t="shared" si="27"/>
        <v>278.06403253359827</v>
      </c>
      <c r="U103" s="31"/>
      <c r="V103" s="488"/>
      <c r="W103" s="465"/>
      <c r="X103" s="34" t="s">
        <v>25</v>
      </c>
      <c r="Y103" s="31" t="s">
        <v>3</v>
      </c>
      <c r="Z103" s="13">
        <f>$G$103*AA103</f>
        <v>40.319258821775755</v>
      </c>
      <c r="AA103" s="20">
        <f t="shared" si="28"/>
        <v>60478.88823266363</v>
      </c>
      <c r="AB103" s="31"/>
      <c r="AC103" s="488"/>
      <c r="AD103" s="465"/>
      <c r="AE103" s="34" t="s">
        <v>25</v>
      </c>
      <c r="AF103" s="31" t="s">
        <v>3</v>
      </c>
      <c r="AG103" s="13">
        <f>$G$103*AH103</f>
        <v>0.1853760216890655</v>
      </c>
      <c r="AH103" s="12">
        <f t="shared" si="29"/>
        <v>278.06403253359827</v>
      </c>
      <c r="AI103" s="42"/>
      <c r="AJ103" s="512"/>
      <c r="AK103" s="464"/>
      <c r="AL103" s="209" t="s">
        <v>25</v>
      </c>
      <c r="AM103" s="31" t="s">
        <v>3</v>
      </c>
      <c r="AN103" s="13">
        <f>$G$103*AO103</f>
        <v>6.8589083492248308</v>
      </c>
      <c r="AO103" s="12">
        <f t="shared" si="30"/>
        <v>10288.362523837246</v>
      </c>
      <c r="AP103" s="71" t="s">
        <v>150</v>
      </c>
      <c r="AQ103" s="4">
        <f t="shared" si="24"/>
        <v>-8.4693450119743829E-7</v>
      </c>
    </row>
    <row r="104" spans="1:43" ht="51" x14ac:dyDescent="0.2">
      <c r="A104" s="488"/>
      <c r="B104" s="465"/>
      <c r="C104" s="34" t="s">
        <v>24</v>
      </c>
      <c r="D104" s="31" t="s">
        <v>3</v>
      </c>
      <c r="E104" s="32">
        <v>55</v>
      </c>
      <c r="F104" s="32">
        <v>30000</v>
      </c>
      <c r="G104" s="31">
        <f t="shared" si="25"/>
        <v>1.8333333333333333E-3</v>
      </c>
      <c r="H104" s="488"/>
      <c r="I104" s="465"/>
      <c r="J104" s="34" t="s">
        <v>24</v>
      </c>
      <c r="K104" s="31" t="s">
        <v>3</v>
      </c>
      <c r="L104" s="13">
        <f>$G$104*M104</f>
        <v>25.942327664339647</v>
      </c>
      <c r="M104" s="12">
        <f t="shared" si="26"/>
        <v>14150.360544185261</v>
      </c>
      <c r="N104" s="31"/>
      <c r="O104" s="488"/>
      <c r="P104" s="465"/>
      <c r="Q104" s="34" t="s">
        <v>24</v>
      </c>
      <c r="R104" s="31" t="s">
        <v>3</v>
      </c>
      <c r="S104" s="13">
        <f>$G$104*T104</f>
        <v>0.11328534658776225</v>
      </c>
      <c r="T104" s="12">
        <f t="shared" si="27"/>
        <v>61.792007229688501</v>
      </c>
      <c r="U104" s="31"/>
      <c r="V104" s="488"/>
      <c r="W104" s="465"/>
      <c r="X104" s="34" t="s">
        <v>24</v>
      </c>
      <c r="Y104" s="31" t="s">
        <v>3</v>
      </c>
      <c r="Z104" s="13">
        <f>$G$104*AA104</f>
        <v>24.639547057751852</v>
      </c>
      <c r="AA104" s="20">
        <f t="shared" si="28"/>
        <v>13439.752940591919</v>
      </c>
      <c r="AB104" s="31"/>
      <c r="AC104" s="488"/>
      <c r="AD104" s="465"/>
      <c r="AE104" s="34" t="s">
        <v>24</v>
      </c>
      <c r="AF104" s="31" t="s">
        <v>3</v>
      </c>
      <c r="AG104" s="13">
        <f>$G$104*AH104</f>
        <v>0.11328534658776225</v>
      </c>
      <c r="AH104" s="12">
        <f t="shared" si="29"/>
        <v>61.792007229688501</v>
      </c>
      <c r="AI104" s="42"/>
      <c r="AJ104" s="512"/>
      <c r="AK104" s="464"/>
      <c r="AL104" s="209" t="s">
        <v>24</v>
      </c>
      <c r="AM104" s="31" t="s">
        <v>3</v>
      </c>
      <c r="AN104" s="13">
        <f>$G$104*AO104</f>
        <v>4.1915551023040631</v>
      </c>
      <c r="AO104" s="12">
        <f t="shared" si="30"/>
        <v>2286.3027830749434</v>
      </c>
      <c r="AP104" s="71" t="s">
        <v>150</v>
      </c>
      <c r="AQ104" s="4">
        <f t="shared" si="24"/>
        <v>-5.1757108643357697E-7</v>
      </c>
    </row>
    <row r="105" spans="1:43" ht="38.25" x14ac:dyDescent="0.2">
      <c r="A105" s="488"/>
      <c r="B105" s="465"/>
      <c r="C105" s="34" t="s">
        <v>23</v>
      </c>
      <c r="D105" s="31" t="s">
        <v>3</v>
      </c>
      <c r="E105" s="32">
        <v>18</v>
      </c>
      <c r="F105" s="32">
        <v>40000</v>
      </c>
      <c r="G105" s="31">
        <f t="shared" si="25"/>
        <v>4.4999999999999999E-4</v>
      </c>
      <c r="H105" s="488"/>
      <c r="I105" s="465"/>
      <c r="J105" s="34" t="s">
        <v>23</v>
      </c>
      <c r="K105" s="31" t="s">
        <v>3</v>
      </c>
      <c r="L105" s="13">
        <f>$G$105*M105-0.1</f>
        <v>8.3902163265111565</v>
      </c>
      <c r="M105" s="12">
        <f t="shared" si="26"/>
        <v>18867.147392247014</v>
      </c>
      <c r="N105" s="31"/>
      <c r="O105" s="488"/>
      <c r="P105" s="465"/>
      <c r="Q105" s="34" t="s">
        <v>23</v>
      </c>
      <c r="R105" s="31" t="s">
        <v>3</v>
      </c>
      <c r="S105" s="13">
        <f>$G$105*T105+0.1</f>
        <v>0.13707520433781312</v>
      </c>
      <c r="T105" s="12">
        <f t="shared" si="27"/>
        <v>82.389342972918001</v>
      </c>
      <c r="U105" s="31"/>
      <c r="V105" s="488"/>
      <c r="W105" s="465"/>
      <c r="X105" s="34" t="s">
        <v>23</v>
      </c>
      <c r="Y105" s="31" t="s">
        <v>3</v>
      </c>
      <c r="Z105" s="13">
        <f>$G$105*AA105-0.1</f>
        <v>7.9638517643551499</v>
      </c>
      <c r="AA105" s="20">
        <f t="shared" si="28"/>
        <v>17919.67058745589</v>
      </c>
      <c r="AB105" s="31"/>
      <c r="AC105" s="488"/>
      <c r="AD105" s="465"/>
      <c r="AE105" s="34" t="s">
        <v>23</v>
      </c>
      <c r="AF105" s="31" t="s">
        <v>3</v>
      </c>
      <c r="AG105" s="13">
        <f>$G$105*AH105+0.1</f>
        <v>0.13707520433781312</v>
      </c>
      <c r="AH105" s="12">
        <f t="shared" si="29"/>
        <v>82.389342972918001</v>
      </c>
      <c r="AI105" s="42"/>
      <c r="AJ105" s="512"/>
      <c r="AK105" s="464"/>
      <c r="AL105" s="209" t="s">
        <v>23</v>
      </c>
      <c r="AM105" s="31" t="s">
        <v>3</v>
      </c>
      <c r="AN105" s="13">
        <f>$G$105*AO105</f>
        <v>1.3717816698449661</v>
      </c>
      <c r="AO105" s="12">
        <f t="shared" si="30"/>
        <v>3048.4037107665913</v>
      </c>
      <c r="AP105" s="71" t="s">
        <v>150</v>
      </c>
      <c r="AQ105" s="4">
        <f t="shared" si="24"/>
        <v>-1.6938689917367356E-7</v>
      </c>
    </row>
    <row r="106" spans="1:43" ht="78" customHeight="1" x14ac:dyDescent="0.2">
      <c r="A106" s="488"/>
      <c r="B106" s="465"/>
      <c r="C106" s="34" t="s">
        <v>22</v>
      </c>
      <c r="D106" s="31" t="s">
        <v>12</v>
      </c>
      <c r="E106" s="32">
        <v>1</v>
      </c>
      <c r="F106" s="32">
        <v>68296.320000000007</v>
      </c>
      <c r="G106" s="35">
        <f t="shared" si="25"/>
        <v>1.4642077347652112E-5</v>
      </c>
      <c r="H106" s="488"/>
      <c r="I106" s="465"/>
      <c r="J106" s="34" t="s">
        <v>22</v>
      </c>
      <c r="K106" s="31" t="s">
        <v>12</v>
      </c>
      <c r="L106" s="13">
        <f>$G$106*M106-0.1</f>
        <v>0.37167868480617539</v>
      </c>
      <c r="M106" s="12">
        <f t="shared" si="26"/>
        <v>32213.918394701694</v>
      </c>
      <c r="N106" s="31"/>
      <c r="O106" s="488"/>
      <c r="P106" s="465"/>
      <c r="Q106" s="34" t="s">
        <v>22</v>
      </c>
      <c r="R106" s="31" t="s">
        <v>12</v>
      </c>
      <c r="S106" s="13">
        <f>$G$106*T106+0.1</f>
        <v>0.10205973357432295</v>
      </c>
      <c r="T106" s="12">
        <f t="shared" si="27"/>
        <v>140.67222330670398</v>
      </c>
      <c r="U106" s="31"/>
      <c r="V106" s="488"/>
      <c r="W106" s="465"/>
      <c r="X106" s="34" t="s">
        <v>22</v>
      </c>
      <c r="Y106" s="31" t="s">
        <v>12</v>
      </c>
      <c r="Z106" s="13">
        <f>$G$106*AA106-0.1</f>
        <v>0.34799176468639725</v>
      </c>
      <c r="AA106" s="20">
        <f t="shared" si="28"/>
        <v>30596.188918386892</v>
      </c>
      <c r="AB106" s="31"/>
      <c r="AC106" s="488"/>
      <c r="AD106" s="465"/>
      <c r="AE106" s="34" t="s">
        <v>22</v>
      </c>
      <c r="AF106" s="31" t="s">
        <v>12</v>
      </c>
      <c r="AG106" s="13">
        <f>$G$106*AH106+0.1</f>
        <v>0.10205973357432295</v>
      </c>
      <c r="AH106" s="12">
        <f t="shared" si="29"/>
        <v>140.67222330670398</v>
      </c>
      <c r="AI106" s="42"/>
      <c r="AJ106" s="512"/>
      <c r="AK106" s="464"/>
      <c r="AL106" s="209" t="s">
        <v>22</v>
      </c>
      <c r="AM106" s="31" t="s">
        <v>12</v>
      </c>
      <c r="AN106" s="13">
        <f>$G$106*AO106</f>
        <v>7.6210092769164781E-2</v>
      </c>
      <c r="AO106" s="12">
        <f t="shared" si="30"/>
        <v>5204.8688829925641</v>
      </c>
      <c r="AP106" s="71" t="s">
        <v>150</v>
      </c>
      <c r="AQ106" s="4">
        <f t="shared" si="24"/>
        <v>-9.4103833336856013E-9</v>
      </c>
    </row>
    <row r="107" spans="1:43" ht="25.5" x14ac:dyDescent="0.2">
      <c r="A107" s="488"/>
      <c r="B107" s="465"/>
      <c r="C107" s="34" t="s">
        <v>21</v>
      </c>
      <c r="D107" s="31" t="s">
        <v>20</v>
      </c>
      <c r="E107" s="32">
        <v>3.54</v>
      </c>
      <c r="F107" s="32">
        <f>25350-494</f>
        <v>24856</v>
      </c>
      <c r="G107" s="31">
        <f t="shared" si="25"/>
        <v>1.4242034116511104E-4</v>
      </c>
      <c r="H107" s="488"/>
      <c r="I107" s="465"/>
      <c r="J107" s="34" t="s">
        <v>21</v>
      </c>
      <c r="K107" s="31" t="s">
        <v>20</v>
      </c>
      <c r="L107" s="13">
        <f>$G$107*M107-0.1</f>
        <v>1.5697425442138606</v>
      </c>
      <c r="M107" s="12">
        <f t="shared" si="26"/>
        <v>11724.045389542294</v>
      </c>
      <c r="N107" s="31"/>
      <c r="O107" s="488"/>
      <c r="P107" s="465"/>
      <c r="Q107" s="34" t="s">
        <v>21</v>
      </c>
      <c r="R107" s="31" t="s">
        <v>20</v>
      </c>
      <c r="S107" s="13">
        <f>$G$107*T107+0.1</f>
        <v>0.10729145685310325</v>
      </c>
      <c r="T107" s="12">
        <f t="shared" si="27"/>
        <v>51.19673772337125</v>
      </c>
      <c r="U107" s="31"/>
      <c r="V107" s="488"/>
      <c r="W107" s="465"/>
      <c r="X107" s="34" t="s">
        <v>21</v>
      </c>
      <c r="Y107" s="31" t="s">
        <v>20</v>
      </c>
      <c r="Z107" s="13">
        <f>$G$107*AA107-0.1</f>
        <v>1.4858908469898462</v>
      </c>
      <c r="AA107" s="20">
        <f t="shared" si="28"/>
        <v>11135.283303045091</v>
      </c>
      <c r="AB107" s="31"/>
      <c r="AC107" s="488"/>
      <c r="AD107" s="465"/>
      <c r="AE107" s="34" t="s">
        <v>21</v>
      </c>
      <c r="AF107" s="31" t="s">
        <v>20</v>
      </c>
      <c r="AG107" s="13">
        <f>$G$107*AH107+0.1</f>
        <v>0.10729145685310325</v>
      </c>
      <c r="AH107" s="12">
        <f t="shared" si="29"/>
        <v>51.19673772337125</v>
      </c>
      <c r="AI107" s="42"/>
      <c r="AJ107" s="512"/>
      <c r="AK107" s="464"/>
      <c r="AL107" s="209" t="s">
        <v>21</v>
      </c>
      <c r="AM107" s="31" t="s">
        <v>20</v>
      </c>
      <c r="AN107" s="13">
        <f>$G$107*AO107</f>
        <v>0.26978372840284331</v>
      </c>
      <c r="AO107" s="12">
        <f t="shared" si="30"/>
        <v>1894.2780658703598</v>
      </c>
      <c r="AP107" s="71" t="s">
        <v>150</v>
      </c>
      <c r="AQ107" s="4">
        <f t="shared" si="24"/>
        <v>-3.3312756497760887E-8</v>
      </c>
    </row>
    <row r="108" spans="1:43" ht="25.5" x14ac:dyDescent="0.2">
      <c r="A108" s="488"/>
      <c r="B108" s="465"/>
      <c r="C108" s="34" t="s">
        <v>19</v>
      </c>
      <c r="D108" s="31" t="s">
        <v>3</v>
      </c>
      <c r="E108" s="32">
        <v>30</v>
      </c>
      <c r="F108" s="32">
        <v>30000</v>
      </c>
      <c r="G108" s="31">
        <f t="shared" si="25"/>
        <v>1E-3</v>
      </c>
      <c r="H108" s="488"/>
      <c r="I108" s="465"/>
      <c r="J108" s="34" t="s">
        <v>19</v>
      </c>
      <c r="K108" s="31" t="s">
        <v>3</v>
      </c>
      <c r="L108" s="13">
        <f>$G$108*M108</f>
        <v>14.150360544185261</v>
      </c>
      <c r="M108" s="12">
        <f t="shared" si="26"/>
        <v>14150.360544185261</v>
      </c>
      <c r="N108" s="31"/>
      <c r="O108" s="488"/>
      <c r="P108" s="465"/>
      <c r="Q108" s="34" t="s">
        <v>19</v>
      </c>
      <c r="R108" s="31" t="s">
        <v>3</v>
      </c>
      <c r="S108" s="13">
        <f>$G$108*T108</f>
        <v>6.17920072296885E-2</v>
      </c>
      <c r="T108" s="12">
        <f t="shared" si="27"/>
        <v>61.792007229688501</v>
      </c>
      <c r="U108" s="31"/>
      <c r="V108" s="488"/>
      <c r="W108" s="465"/>
      <c r="X108" s="34" t="s">
        <v>19</v>
      </c>
      <c r="Y108" s="31" t="s">
        <v>3</v>
      </c>
      <c r="Z108" s="13">
        <f>$G$108*AA108</f>
        <v>13.439752940591919</v>
      </c>
      <c r="AA108" s="20">
        <f t="shared" si="28"/>
        <v>13439.752940591919</v>
      </c>
      <c r="AB108" s="31"/>
      <c r="AC108" s="488"/>
      <c r="AD108" s="465"/>
      <c r="AE108" s="34" t="s">
        <v>19</v>
      </c>
      <c r="AF108" s="31" t="s">
        <v>3</v>
      </c>
      <c r="AG108" s="13">
        <f>$G$108*AH108</f>
        <v>6.17920072296885E-2</v>
      </c>
      <c r="AH108" s="12">
        <f t="shared" si="29"/>
        <v>61.792007229688501</v>
      </c>
      <c r="AI108" s="42"/>
      <c r="AJ108" s="512"/>
      <c r="AK108" s="464"/>
      <c r="AL108" s="209" t="s">
        <v>19</v>
      </c>
      <c r="AM108" s="31" t="s">
        <v>3</v>
      </c>
      <c r="AN108" s="13">
        <f>$G$108*AO108</f>
        <v>2.2863027830749436</v>
      </c>
      <c r="AO108" s="12">
        <f t="shared" si="30"/>
        <v>2286.3027830749434</v>
      </c>
      <c r="AP108" s="71" t="s">
        <v>150</v>
      </c>
      <c r="AQ108" s="4">
        <f t="shared" ref="AQ108:AQ123" si="31">E108-L108-S108-Z108-AG108-AN108</f>
        <v>-2.8231150217550294E-7</v>
      </c>
    </row>
    <row r="109" spans="1:43" ht="25.5" x14ac:dyDescent="0.2">
      <c r="A109" s="488"/>
      <c r="B109" s="465"/>
      <c r="C109" s="34" t="s">
        <v>18</v>
      </c>
      <c r="D109" s="31" t="s">
        <v>3</v>
      </c>
      <c r="E109" s="32">
        <v>10</v>
      </c>
      <c r="F109" s="32">
        <v>10000</v>
      </c>
      <c r="G109" s="31">
        <f t="shared" si="25"/>
        <v>1E-3</v>
      </c>
      <c r="H109" s="488"/>
      <c r="I109" s="465"/>
      <c r="J109" s="34" t="s">
        <v>18</v>
      </c>
      <c r="K109" s="31" t="s">
        <v>3</v>
      </c>
      <c r="L109" s="13">
        <f>$G$109*M109-0.1</f>
        <v>4.6167868480617535</v>
      </c>
      <c r="M109" s="12">
        <f t="shared" si="26"/>
        <v>4716.7868480617535</v>
      </c>
      <c r="N109" s="31"/>
      <c r="O109" s="488"/>
      <c r="P109" s="465"/>
      <c r="Q109" s="34" t="s">
        <v>18</v>
      </c>
      <c r="R109" s="31" t="s">
        <v>3</v>
      </c>
      <c r="S109" s="13">
        <f>$G$109*T109+0.1</f>
        <v>0.12059733574322951</v>
      </c>
      <c r="T109" s="12">
        <f t="shared" si="27"/>
        <v>20.5973357432295</v>
      </c>
      <c r="U109" s="31"/>
      <c r="V109" s="488"/>
      <c r="W109" s="465"/>
      <c r="X109" s="34" t="s">
        <v>18</v>
      </c>
      <c r="Y109" s="31" t="s">
        <v>3</v>
      </c>
      <c r="Z109" s="13">
        <f>$G$109*AA109-0.1</f>
        <v>4.3799176468639729</v>
      </c>
      <c r="AA109" s="20">
        <f t="shared" si="28"/>
        <v>4479.9176468639725</v>
      </c>
      <c r="AB109" s="31"/>
      <c r="AC109" s="488"/>
      <c r="AD109" s="465"/>
      <c r="AE109" s="34" t="s">
        <v>18</v>
      </c>
      <c r="AF109" s="31" t="s">
        <v>3</v>
      </c>
      <c r="AG109" s="13">
        <f>$G$109*AH109+0.1</f>
        <v>0.12059733574322951</v>
      </c>
      <c r="AH109" s="12">
        <f t="shared" si="29"/>
        <v>20.5973357432295</v>
      </c>
      <c r="AI109" s="42"/>
      <c r="AJ109" s="512"/>
      <c r="AK109" s="464"/>
      <c r="AL109" s="209" t="s">
        <v>18</v>
      </c>
      <c r="AM109" s="31" t="s">
        <v>3</v>
      </c>
      <c r="AN109" s="13">
        <f>$G$109*AO109</f>
        <v>0.76210092769164783</v>
      </c>
      <c r="AO109" s="12">
        <f t="shared" si="30"/>
        <v>762.10092769164783</v>
      </c>
      <c r="AP109" s="71" t="s">
        <v>150</v>
      </c>
      <c r="AQ109" s="4">
        <f t="shared" si="31"/>
        <v>-9.4103833503389467E-8</v>
      </c>
    </row>
    <row r="110" spans="1:43" ht="63.75" x14ac:dyDescent="0.2">
      <c r="A110" s="488"/>
      <c r="B110" s="465"/>
      <c r="C110" s="34" t="s">
        <v>17</v>
      </c>
      <c r="D110" s="31" t="s">
        <v>12</v>
      </c>
      <c r="E110" s="32">
        <v>1</v>
      </c>
      <c r="F110" s="32">
        <v>18774</v>
      </c>
      <c r="G110" s="18">
        <f t="shared" si="25"/>
        <v>5.3265153936294876E-5</v>
      </c>
      <c r="H110" s="488"/>
      <c r="I110" s="465"/>
      <c r="J110" s="34" t="s">
        <v>17</v>
      </c>
      <c r="K110" s="31" t="s">
        <v>12</v>
      </c>
      <c r="L110" s="13">
        <f>$G$110*M110-0.1</f>
        <v>0.37167868480617527</v>
      </c>
      <c r="M110" s="12">
        <f t="shared" si="26"/>
        <v>8855.2956285511355</v>
      </c>
      <c r="N110" s="31"/>
      <c r="O110" s="488"/>
      <c r="P110" s="465"/>
      <c r="Q110" s="34" t="s">
        <v>17</v>
      </c>
      <c r="R110" s="31" t="s">
        <v>12</v>
      </c>
      <c r="S110" s="13">
        <f>$G$110*T110+0.1</f>
        <v>0.10205973357432295</v>
      </c>
      <c r="T110" s="12">
        <f t="shared" si="27"/>
        <v>38.669438124339067</v>
      </c>
      <c r="U110" s="31"/>
      <c r="V110" s="488"/>
      <c r="W110" s="465"/>
      <c r="X110" s="34" t="s">
        <v>17</v>
      </c>
      <c r="Y110" s="31" t="s">
        <v>12</v>
      </c>
      <c r="Z110" s="13">
        <f>$G$110*AA110-0.1</f>
        <v>0.34799176468639736</v>
      </c>
      <c r="AA110" s="20">
        <f t="shared" si="28"/>
        <v>8410.5973902224232</v>
      </c>
      <c r="AB110" s="31"/>
      <c r="AC110" s="488"/>
      <c r="AD110" s="465"/>
      <c r="AE110" s="34" t="s">
        <v>17</v>
      </c>
      <c r="AF110" s="31" t="s">
        <v>12</v>
      </c>
      <c r="AG110" s="13">
        <f>$G$110*AH110+0.1</f>
        <v>0.10205973357432295</v>
      </c>
      <c r="AH110" s="12">
        <f t="shared" si="29"/>
        <v>38.669438124339067</v>
      </c>
      <c r="AI110" s="42"/>
      <c r="AJ110" s="512"/>
      <c r="AK110" s="464"/>
      <c r="AL110" s="209" t="s">
        <v>17</v>
      </c>
      <c r="AM110" s="31" t="s">
        <v>12</v>
      </c>
      <c r="AN110" s="13">
        <f>$G$110*AO110</f>
        <v>7.6210092769164781E-2</v>
      </c>
      <c r="AO110" s="12">
        <f t="shared" si="30"/>
        <v>1430.7682816482995</v>
      </c>
      <c r="AP110" s="71" t="s">
        <v>150</v>
      </c>
      <c r="AQ110" s="4">
        <f t="shared" si="31"/>
        <v>-9.4103833336856013E-9</v>
      </c>
    </row>
    <row r="111" spans="1:43" ht="89.25" x14ac:dyDescent="0.2">
      <c r="A111" s="488"/>
      <c r="B111" s="465"/>
      <c r="C111" s="34" t="s">
        <v>16</v>
      </c>
      <c r="D111" s="31" t="s">
        <v>3</v>
      </c>
      <c r="E111" s="32">
        <v>90</v>
      </c>
      <c r="F111" s="32">
        <f>200000+20000+24000+4000+2000+165000</f>
        <v>415000</v>
      </c>
      <c r="G111" s="18">
        <f t="shared" si="25"/>
        <v>2.1686746987951806E-4</v>
      </c>
      <c r="H111" s="488"/>
      <c r="I111" s="465"/>
      <c r="J111" s="34" t="s">
        <v>16</v>
      </c>
      <c r="K111" s="31" t="s">
        <v>3</v>
      </c>
      <c r="L111" s="13">
        <f>$G$111*M111</f>
        <v>42.451081632555784</v>
      </c>
      <c r="M111" s="12">
        <f t="shared" si="26"/>
        <v>195746.65419456278</v>
      </c>
      <c r="N111" s="31"/>
      <c r="O111" s="488"/>
      <c r="P111" s="465"/>
      <c r="Q111" s="34" t="s">
        <v>16</v>
      </c>
      <c r="R111" s="31" t="s">
        <v>3</v>
      </c>
      <c r="S111" s="13">
        <f>$G$111*T111</f>
        <v>0.1853760216890655</v>
      </c>
      <c r="T111" s="12">
        <f t="shared" si="27"/>
        <v>854.78943334402425</v>
      </c>
      <c r="U111" s="31"/>
      <c r="V111" s="488"/>
      <c r="W111" s="465"/>
      <c r="X111" s="34" t="s">
        <v>16</v>
      </c>
      <c r="Y111" s="31" t="s">
        <v>3</v>
      </c>
      <c r="Z111" s="13">
        <f>$G$111*AA111</f>
        <v>40.319258821775755</v>
      </c>
      <c r="AA111" s="20">
        <f t="shared" si="28"/>
        <v>185916.58234485486</v>
      </c>
      <c r="AB111" s="31"/>
      <c r="AC111" s="488"/>
      <c r="AD111" s="465"/>
      <c r="AE111" s="34" t="s">
        <v>16</v>
      </c>
      <c r="AF111" s="31" t="s">
        <v>3</v>
      </c>
      <c r="AG111" s="13">
        <f>$G$111*AH111</f>
        <v>0.1853760216890655</v>
      </c>
      <c r="AH111" s="12">
        <f t="shared" si="29"/>
        <v>854.78943334402425</v>
      </c>
      <c r="AI111" s="42"/>
      <c r="AJ111" s="512"/>
      <c r="AK111" s="464"/>
      <c r="AL111" s="209" t="s">
        <v>16</v>
      </c>
      <c r="AM111" s="31" t="s">
        <v>3</v>
      </c>
      <c r="AN111" s="13">
        <f>$G$111*AO111</f>
        <v>6.8589083492248299</v>
      </c>
      <c r="AO111" s="12">
        <f t="shared" si="30"/>
        <v>31627.188499203385</v>
      </c>
      <c r="AP111" s="71" t="s">
        <v>150</v>
      </c>
      <c r="AQ111" s="4">
        <f t="shared" si="31"/>
        <v>-8.4693450030925987E-7</v>
      </c>
    </row>
    <row r="112" spans="1:43" ht="38.25" x14ac:dyDescent="0.2">
      <c r="A112" s="488"/>
      <c r="B112" s="465"/>
      <c r="C112" s="34" t="s">
        <v>15</v>
      </c>
      <c r="D112" s="31" t="s">
        <v>12</v>
      </c>
      <c r="E112" s="32">
        <v>1</v>
      </c>
      <c r="F112" s="32">
        <v>7500</v>
      </c>
      <c r="G112" s="18">
        <f t="shared" si="25"/>
        <v>1.3333333333333334E-4</v>
      </c>
      <c r="H112" s="488"/>
      <c r="I112" s="465"/>
      <c r="J112" s="34" t="s">
        <v>15</v>
      </c>
      <c r="K112" s="31" t="s">
        <v>12</v>
      </c>
      <c r="L112" s="13">
        <f>$G$112*M112-0.1</f>
        <v>0.37167868480617539</v>
      </c>
      <c r="M112" s="12">
        <f t="shared" si="26"/>
        <v>3537.5901360463154</v>
      </c>
      <c r="N112" s="31"/>
      <c r="O112" s="488"/>
      <c r="P112" s="465"/>
      <c r="Q112" s="34" t="s">
        <v>15</v>
      </c>
      <c r="R112" s="31" t="s">
        <v>12</v>
      </c>
      <c r="S112" s="13">
        <f>$G$112*T112+0.1</f>
        <v>0.10205973357432295</v>
      </c>
      <c r="T112" s="12">
        <f t="shared" si="27"/>
        <v>15.448001807422125</v>
      </c>
      <c r="U112" s="31"/>
      <c r="V112" s="488"/>
      <c r="W112" s="465"/>
      <c r="X112" s="34" t="s">
        <v>15</v>
      </c>
      <c r="Y112" s="31" t="s">
        <v>12</v>
      </c>
      <c r="Z112" s="13">
        <f>$G$112*AA112</f>
        <v>0.44799176468639734</v>
      </c>
      <c r="AA112" s="20">
        <f t="shared" si="28"/>
        <v>3359.9382351479799</v>
      </c>
      <c r="AB112" s="31"/>
      <c r="AC112" s="488"/>
      <c r="AD112" s="465"/>
      <c r="AE112" s="34" t="s">
        <v>15</v>
      </c>
      <c r="AF112" s="31" t="s">
        <v>12</v>
      </c>
      <c r="AG112" s="13">
        <f>$G$112*AH112</f>
        <v>2.0597335743229501E-3</v>
      </c>
      <c r="AH112" s="12">
        <f t="shared" si="29"/>
        <v>15.448001807422125</v>
      </c>
      <c r="AI112" s="42"/>
      <c r="AJ112" s="512"/>
      <c r="AK112" s="464"/>
      <c r="AL112" s="209" t="s">
        <v>15</v>
      </c>
      <c r="AM112" s="31" t="s">
        <v>12</v>
      </c>
      <c r="AN112" s="13">
        <f>$G$112*AO112</f>
        <v>7.6210092769164781E-2</v>
      </c>
      <c r="AO112" s="12">
        <f t="shared" si="30"/>
        <v>571.57569576873584</v>
      </c>
      <c r="AP112" s="71" t="s">
        <v>150</v>
      </c>
      <c r="AQ112" s="4">
        <f t="shared" si="31"/>
        <v>-9.4103834169523282E-9</v>
      </c>
    </row>
    <row r="113" spans="1:43" ht="108" x14ac:dyDescent="0.2">
      <c r="A113" s="488"/>
      <c r="B113" s="465"/>
      <c r="C113" s="15" t="s">
        <v>14</v>
      </c>
      <c r="D113" s="31" t="s">
        <v>10</v>
      </c>
      <c r="E113" s="33">
        <v>110</v>
      </c>
      <c r="F113" s="33">
        <v>20000</v>
      </c>
      <c r="G113" s="18">
        <f t="shared" si="25"/>
        <v>5.4999999999999997E-3</v>
      </c>
      <c r="H113" s="488"/>
      <c r="I113" s="465"/>
      <c r="J113" s="15" t="s">
        <v>14</v>
      </c>
      <c r="K113" s="31" t="s">
        <v>10</v>
      </c>
      <c r="L113" s="13">
        <f>$G$113*M113</f>
        <v>51.884655328679287</v>
      </c>
      <c r="M113" s="12">
        <f t="shared" si="26"/>
        <v>9433.573696123507</v>
      </c>
      <c r="N113" s="31"/>
      <c r="O113" s="488"/>
      <c r="P113" s="465"/>
      <c r="Q113" s="15" t="s">
        <v>14</v>
      </c>
      <c r="R113" s="31" t="s">
        <v>10</v>
      </c>
      <c r="S113" s="13">
        <f>$G$113*T113</f>
        <v>0.2265706931755245</v>
      </c>
      <c r="T113" s="12">
        <f t="shared" si="27"/>
        <v>41.194671486459001</v>
      </c>
      <c r="U113" s="31"/>
      <c r="V113" s="488"/>
      <c r="W113" s="465"/>
      <c r="X113" s="15" t="s">
        <v>14</v>
      </c>
      <c r="Y113" s="31" t="s">
        <v>10</v>
      </c>
      <c r="Z113" s="13">
        <f>$G$113*AA113</f>
        <v>49.279094115503696</v>
      </c>
      <c r="AA113" s="20">
        <f t="shared" si="28"/>
        <v>8959.8352937279451</v>
      </c>
      <c r="AB113" s="31"/>
      <c r="AC113" s="488"/>
      <c r="AD113" s="465"/>
      <c r="AE113" s="15" t="s">
        <v>14</v>
      </c>
      <c r="AF113" s="31" t="s">
        <v>10</v>
      </c>
      <c r="AG113" s="13">
        <f>$G$113*AH113</f>
        <v>0.2265706931755245</v>
      </c>
      <c r="AH113" s="12">
        <f t="shared" si="29"/>
        <v>41.194671486459001</v>
      </c>
      <c r="AI113" s="42"/>
      <c r="AJ113" s="512"/>
      <c r="AK113" s="464"/>
      <c r="AL113" s="210" t="s">
        <v>14</v>
      </c>
      <c r="AM113" s="31" t="s">
        <v>10</v>
      </c>
      <c r="AN113" s="13">
        <f>$G$113*AO113</f>
        <v>8.3831102046081263</v>
      </c>
      <c r="AO113" s="12">
        <f t="shared" si="30"/>
        <v>1524.2018553832957</v>
      </c>
      <c r="AP113" s="71" t="s">
        <v>150</v>
      </c>
      <c r="AQ113" s="4">
        <f t="shared" si="31"/>
        <v>-1.0351421586562992E-6</v>
      </c>
    </row>
    <row r="114" spans="1:43" ht="40.5" x14ac:dyDescent="0.2">
      <c r="A114" s="488"/>
      <c r="B114" s="465"/>
      <c r="C114" s="15" t="s">
        <v>13</v>
      </c>
      <c r="D114" s="31" t="s">
        <v>12</v>
      </c>
      <c r="E114" s="33">
        <v>1</v>
      </c>
      <c r="F114" s="33">
        <v>150000</v>
      </c>
      <c r="G114" s="18">
        <f t="shared" si="25"/>
        <v>6.6666666666666666E-6</v>
      </c>
      <c r="H114" s="488"/>
      <c r="I114" s="465"/>
      <c r="J114" s="15" t="s">
        <v>13</v>
      </c>
      <c r="K114" s="31" t="s">
        <v>12</v>
      </c>
      <c r="L114" s="13">
        <f>$G$114*M114-0.1</f>
        <v>0.37167868480617539</v>
      </c>
      <c r="M114" s="12">
        <f t="shared" si="26"/>
        <v>70751.802720926309</v>
      </c>
      <c r="N114" s="31"/>
      <c r="O114" s="488"/>
      <c r="P114" s="465"/>
      <c r="Q114" s="15" t="s">
        <v>13</v>
      </c>
      <c r="R114" s="31" t="s">
        <v>12</v>
      </c>
      <c r="S114" s="13">
        <f>$G$114*T114+0.1</f>
        <v>0.10205973357432295</v>
      </c>
      <c r="T114" s="12">
        <f t="shared" si="27"/>
        <v>308.9600361484425</v>
      </c>
      <c r="U114" s="31"/>
      <c r="V114" s="488"/>
      <c r="W114" s="465"/>
      <c r="X114" s="15" t="s">
        <v>13</v>
      </c>
      <c r="Y114" s="31" t="s">
        <v>12</v>
      </c>
      <c r="Z114" s="13">
        <f>$G$114*AA114-0.1</f>
        <v>0.34799176468639725</v>
      </c>
      <c r="AA114" s="20">
        <f t="shared" si="28"/>
        <v>67198.764702959597</v>
      </c>
      <c r="AB114" s="31"/>
      <c r="AC114" s="488"/>
      <c r="AD114" s="465"/>
      <c r="AE114" s="15" t="s">
        <v>13</v>
      </c>
      <c r="AF114" s="31" t="s">
        <v>12</v>
      </c>
      <c r="AG114" s="13">
        <f>$G$114*AH114+0.1</f>
        <v>0.10205973357432295</v>
      </c>
      <c r="AH114" s="12">
        <f t="shared" si="29"/>
        <v>308.9600361484425</v>
      </c>
      <c r="AI114" s="42"/>
      <c r="AJ114" s="512"/>
      <c r="AK114" s="464"/>
      <c r="AL114" s="210" t="s">
        <v>13</v>
      </c>
      <c r="AM114" s="31" t="s">
        <v>12</v>
      </c>
      <c r="AN114" s="13">
        <f>$G$114*AO114</f>
        <v>7.6210092769164781E-2</v>
      </c>
      <c r="AO114" s="12">
        <f t="shared" si="30"/>
        <v>11431.513915374717</v>
      </c>
      <c r="AP114" s="71" t="s">
        <v>150</v>
      </c>
      <c r="AQ114" s="4">
        <f t="shared" si="31"/>
        <v>-9.4103833336856013E-9</v>
      </c>
    </row>
    <row r="115" spans="1:43" ht="42.75" x14ac:dyDescent="0.2">
      <c r="A115" s="17"/>
      <c r="B115" s="16"/>
      <c r="C115" s="31" t="s">
        <v>11</v>
      </c>
      <c r="D115" s="31" t="s">
        <v>10</v>
      </c>
      <c r="E115" s="32">
        <v>1140</v>
      </c>
      <c r="F115" s="32">
        <f>23000+5000</f>
        <v>28000</v>
      </c>
      <c r="G115" s="18">
        <f t="shared" si="25"/>
        <v>4.0714285714285717E-2</v>
      </c>
      <c r="H115" s="17"/>
      <c r="I115" s="16"/>
      <c r="J115" s="31" t="s">
        <v>11</v>
      </c>
      <c r="K115" s="31" t="s">
        <v>10</v>
      </c>
      <c r="L115" s="13">
        <f>$G$115*M115</f>
        <v>537.7137006790399</v>
      </c>
      <c r="M115" s="12">
        <f t="shared" si="26"/>
        <v>13207.00317457291</v>
      </c>
      <c r="N115" s="31"/>
      <c r="O115" s="17"/>
      <c r="P115" s="16"/>
      <c r="Q115" s="31" t="s">
        <v>11</v>
      </c>
      <c r="R115" s="31" t="s">
        <v>10</v>
      </c>
      <c r="S115" s="13">
        <f>$G$115*T115</f>
        <v>2.3480962747281633</v>
      </c>
      <c r="T115" s="12">
        <f t="shared" si="27"/>
        <v>57.672540081042605</v>
      </c>
      <c r="U115" s="31"/>
      <c r="V115" s="17"/>
      <c r="W115" s="16"/>
      <c r="X115" s="31" t="s">
        <v>11</v>
      </c>
      <c r="Y115" s="31" t="s">
        <v>10</v>
      </c>
      <c r="Z115" s="13">
        <f>$G$115*AA115</f>
        <v>510.71061174249292</v>
      </c>
      <c r="AA115" s="20">
        <f t="shared" si="28"/>
        <v>12543.769411219124</v>
      </c>
      <c r="AB115" s="31"/>
      <c r="AC115" s="17"/>
      <c r="AD115" s="16"/>
      <c r="AE115" s="31" t="s">
        <v>11</v>
      </c>
      <c r="AF115" s="31" t="s">
        <v>10</v>
      </c>
      <c r="AG115" s="13">
        <f>$G$115*AH115</f>
        <v>2.3480962747281633</v>
      </c>
      <c r="AH115" s="12">
        <f t="shared" si="29"/>
        <v>57.672540081042605</v>
      </c>
      <c r="AI115" s="42"/>
      <c r="AJ115" s="324"/>
      <c r="AK115" s="325"/>
      <c r="AL115" s="124" t="s">
        <v>11</v>
      </c>
      <c r="AM115" s="31" t="s">
        <v>10</v>
      </c>
      <c r="AN115" s="13">
        <f>$G$115*AO115</f>
        <v>86.879505756847863</v>
      </c>
      <c r="AO115" s="12">
        <f t="shared" si="30"/>
        <v>2133.882597536614</v>
      </c>
      <c r="AP115" s="71" t="s">
        <v>150</v>
      </c>
      <c r="AQ115" s="4">
        <f t="shared" si="31"/>
        <v>-1.0727837008062124E-5</v>
      </c>
    </row>
    <row r="116" spans="1:43" s="21" customFormat="1" x14ac:dyDescent="0.2">
      <c r="A116" s="27"/>
      <c r="B116" s="26"/>
      <c r="C116" s="25" t="s">
        <v>9</v>
      </c>
      <c r="D116" s="24" t="s">
        <v>8</v>
      </c>
      <c r="E116" s="30">
        <f>3393+3637.5</f>
        <v>7030.5</v>
      </c>
      <c r="F116" s="29">
        <v>558159.99800000002</v>
      </c>
      <c r="G116" s="18">
        <f t="shared" si="25"/>
        <v>1.259585069727623E-2</v>
      </c>
      <c r="H116" s="27"/>
      <c r="I116" s="26"/>
      <c r="J116" s="25" t="s">
        <v>9</v>
      </c>
      <c r="K116" s="24" t="s">
        <v>8</v>
      </c>
      <c r="L116" s="13">
        <f>$G$116*M116</f>
        <v>3621.6848316010755</v>
      </c>
      <c r="M116" s="28">
        <f>288785.58/460*458</f>
        <v>287529.99052173912</v>
      </c>
      <c r="N116" s="22"/>
      <c r="O116" s="27"/>
      <c r="P116" s="26"/>
      <c r="Q116" s="25" t="s">
        <v>9</v>
      </c>
      <c r="R116" s="24" t="s">
        <v>8</v>
      </c>
      <c r="S116" s="13">
        <f>$G$116*T116</f>
        <v>15.815217605244872</v>
      </c>
      <c r="T116" s="28">
        <f>288785.58/460*2</f>
        <v>1255.5894782608696</v>
      </c>
      <c r="U116" s="22"/>
      <c r="V116" s="27"/>
      <c r="W116" s="26"/>
      <c r="X116" s="25" t="s">
        <v>9</v>
      </c>
      <c r="Y116" s="24" t="s">
        <v>8</v>
      </c>
      <c r="Z116" s="13">
        <f>$G$116*AA116</f>
        <v>2888.3659286764</v>
      </c>
      <c r="AA116" s="23">
        <f>269374.42/SUM($J$2:$L$2)*J2</f>
        <v>229310.90547945205</v>
      </c>
      <c r="AB116" s="22"/>
      <c r="AC116" s="27"/>
      <c r="AD116" s="26"/>
      <c r="AE116" s="25" t="s">
        <v>9</v>
      </c>
      <c r="AF116" s="24" t="s">
        <v>8</v>
      </c>
      <c r="AG116" s="13">
        <f>$G$116*AH116</f>
        <v>13.279843350236321</v>
      </c>
      <c r="AH116" s="23">
        <f>269374.42/SUM($J$2:$L$2)*K2</f>
        <v>1054.3030136986301</v>
      </c>
      <c r="AI116" s="22"/>
      <c r="AJ116" s="27"/>
      <c r="AK116" s="212"/>
      <c r="AL116" s="211" t="s">
        <v>9</v>
      </c>
      <c r="AM116" s="24" t="s">
        <v>8</v>
      </c>
      <c r="AN116" s="13">
        <f>$G$116*AO116</f>
        <v>491.35420395874388</v>
      </c>
      <c r="AO116" s="23">
        <f>269374.42/SUM($J$2:$L$2)*L2</f>
        <v>39009.211506849315</v>
      </c>
      <c r="AP116" s="218" t="s">
        <v>150</v>
      </c>
      <c r="AQ116" s="4">
        <f t="shared" si="31"/>
        <v>-2.5191700672166917E-5</v>
      </c>
    </row>
    <row r="117" spans="1:43" ht="54" x14ac:dyDescent="0.2">
      <c r="A117" s="17"/>
      <c r="B117" s="16"/>
      <c r="C117" s="15" t="s">
        <v>7</v>
      </c>
      <c r="D117" s="14" t="s">
        <v>3</v>
      </c>
      <c r="E117" s="19">
        <v>18</v>
      </c>
      <c r="F117" s="19">
        <v>11730</v>
      </c>
      <c r="G117" s="18">
        <f t="shared" si="25"/>
        <v>1.5345268542199489E-3</v>
      </c>
      <c r="H117" s="17"/>
      <c r="I117" s="16"/>
      <c r="J117" s="15" t="s">
        <v>7</v>
      </c>
      <c r="K117" s="14" t="s">
        <v>3</v>
      </c>
      <c r="L117" s="13">
        <f>$G$117*M117-0.1</f>
        <v>8.3902163265111582</v>
      </c>
      <c r="M117" s="12">
        <f>$N$126/($F$121-558160)*F117</f>
        <v>5532.7909727764372</v>
      </c>
      <c r="N117" s="11"/>
      <c r="O117" s="17"/>
      <c r="P117" s="16"/>
      <c r="Q117" s="15" t="s">
        <v>7</v>
      </c>
      <c r="R117" s="14" t="s">
        <v>3</v>
      </c>
      <c r="S117" s="13">
        <f>$G$117*T117+0.1</f>
        <v>0.13707520433781312</v>
      </c>
      <c r="T117" s="12">
        <f>$U$126/($F$121-558160)*F117</f>
        <v>24.160674826808204</v>
      </c>
      <c r="U117" s="11"/>
      <c r="V117" s="17"/>
      <c r="W117" s="16"/>
      <c r="X117" s="15" t="s">
        <v>7</v>
      </c>
      <c r="Y117" s="14" t="s">
        <v>3</v>
      </c>
      <c r="Z117" s="13">
        <f>$G$117*AA117-0.1</f>
        <v>7.9638517643551516</v>
      </c>
      <c r="AA117" s="20">
        <f>$AB$126/($F$121-558160)*F117</f>
        <v>5254.9433997714405</v>
      </c>
      <c r="AB117" s="11"/>
      <c r="AC117" s="17"/>
      <c r="AD117" s="16"/>
      <c r="AE117" s="15" t="s">
        <v>7</v>
      </c>
      <c r="AF117" s="14" t="s">
        <v>3</v>
      </c>
      <c r="AG117" s="13">
        <f>$G$117*AH117+0.13</f>
        <v>0.16707520433781312</v>
      </c>
      <c r="AH117" s="12">
        <f>$AI$126/($F$121-558160)*F117</f>
        <v>24.160674826808204</v>
      </c>
      <c r="AI117" s="11"/>
      <c r="AJ117" s="324"/>
      <c r="AK117" s="325"/>
      <c r="AL117" s="210" t="s">
        <v>7</v>
      </c>
      <c r="AM117" s="14" t="s">
        <v>3</v>
      </c>
      <c r="AN117" s="13">
        <f>$G$117*AO117</f>
        <v>1.3717816698449661</v>
      </c>
      <c r="AO117" s="12">
        <f>$AP$125/($F$121-558160)*F117</f>
        <v>893.94438818230287</v>
      </c>
      <c r="AP117" s="219" t="s">
        <v>150</v>
      </c>
      <c r="AQ117" s="4">
        <f t="shared" si="31"/>
        <v>-3.0000169386902753E-2</v>
      </c>
    </row>
    <row r="118" spans="1:43" ht="27" x14ac:dyDescent="0.2">
      <c r="A118" s="17"/>
      <c r="B118" s="16"/>
      <c r="C118" s="15" t="s">
        <v>6</v>
      </c>
      <c r="D118" s="14" t="s">
        <v>3</v>
      </c>
      <c r="E118" s="19">
        <v>31</v>
      </c>
      <c r="F118" s="19">
        <v>72300</v>
      </c>
      <c r="G118" s="18">
        <f t="shared" si="25"/>
        <v>4.2876901798063625E-4</v>
      </c>
      <c r="H118" s="17"/>
      <c r="I118" s="16"/>
      <c r="J118" s="15" t="s">
        <v>6</v>
      </c>
      <c r="K118" s="14" t="s">
        <v>3</v>
      </c>
      <c r="L118" s="13">
        <f>$G$118*M118</f>
        <v>14.622039228991435</v>
      </c>
      <c r="M118" s="12">
        <f>$N$126/($F$121-558160)*F118</f>
        <v>34102.368911486476</v>
      </c>
      <c r="N118" s="11"/>
      <c r="O118" s="17"/>
      <c r="P118" s="16"/>
      <c r="Q118" s="15" t="s">
        <v>6</v>
      </c>
      <c r="R118" s="14" t="s">
        <v>3</v>
      </c>
      <c r="S118" s="13">
        <f>$G$118*T118</f>
        <v>6.3851740804011459E-2</v>
      </c>
      <c r="T118" s="12">
        <f>$U$126/($F$121-558160)*F118</f>
        <v>148.91873742354929</v>
      </c>
      <c r="U118" s="11"/>
      <c r="V118" s="17"/>
      <c r="W118" s="16"/>
      <c r="X118" s="15" t="s">
        <v>6</v>
      </c>
      <c r="Y118" s="14" t="s">
        <v>3</v>
      </c>
      <c r="Z118" s="13">
        <f>$G$118*AA118</f>
        <v>13.887744705278317</v>
      </c>
      <c r="AA118" s="20">
        <f>$AB$126/($F$121-558160)*F118</f>
        <v>32389.804586826525</v>
      </c>
      <c r="AB118" s="11"/>
      <c r="AC118" s="17"/>
      <c r="AD118" s="16"/>
      <c r="AE118" s="15" t="s">
        <v>6</v>
      </c>
      <c r="AF118" s="14" t="s">
        <v>3</v>
      </c>
      <c r="AG118" s="13">
        <f>$G$118*AH118</f>
        <v>6.3851740804011459E-2</v>
      </c>
      <c r="AH118" s="12">
        <f>$AI$126/($F$121-558160)*F118</f>
        <v>148.91873742354929</v>
      </c>
      <c r="AI118" s="11"/>
      <c r="AJ118" s="324"/>
      <c r="AK118" s="325"/>
      <c r="AL118" s="210" t="s">
        <v>6</v>
      </c>
      <c r="AM118" s="14" t="s">
        <v>3</v>
      </c>
      <c r="AN118" s="13">
        <f>$G$118*AO118</f>
        <v>2.3625128758441081</v>
      </c>
      <c r="AO118" s="12">
        <f>$AP$125/($F$121-558160)*F118</f>
        <v>5509.9897072106132</v>
      </c>
      <c r="AP118" s="219" t="s">
        <v>150</v>
      </c>
      <c r="AQ118" s="4">
        <f t="shared" si="31"/>
        <v>-2.9172188131809662E-7</v>
      </c>
    </row>
    <row r="119" spans="1:43" ht="27" x14ac:dyDescent="0.2">
      <c r="A119" s="17"/>
      <c r="B119" s="16"/>
      <c r="C119" s="15" t="s">
        <v>5</v>
      </c>
      <c r="D119" s="14" t="s">
        <v>3</v>
      </c>
      <c r="E119" s="19">
        <v>13</v>
      </c>
      <c r="F119" s="19">
        <v>55500.000000000007</v>
      </c>
      <c r="G119" s="18">
        <f t="shared" si="25"/>
        <v>2.3423423423423422E-4</v>
      </c>
      <c r="H119" s="17"/>
      <c r="I119" s="16"/>
      <c r="J119" s="15" t="s">
        <v>5</v>
      </c>
      <c r="K119" s="14" t="s">
        <v>3</v>
      </c>
      <c r="L119" s="13">
        <f>$G$119*M119-0.1</f>
        <v>6.0318229024802807</v>
      </c>
      <c r="M119" s="12">
        <f>$N$126/($F$121-558160)*F119</f>
        <v>26178.167006742737</v>
      </c>
      <c r="N119" s="11"/>
      <c r="O119" s="17"/>
      <c r="P119" s="16"/>
      <c r="Q119" s="15" t="s">
        <v>5</v>
      </c>
      <c r="R119" s="14" t="s">
        <v>3</v>
      </c>
      <c r="S119" s="13">
        <f>$G$119*T119+0.1</f>
        <v>0.12677653646619835</v>
      </c>
      <c r="T119" s="12">
        <f>$U$126/($F$121-558160)*F119</f>
        <v>114.31521337492374</v>
      </c>
      <c r="U119" s="11"/>
      <c r="V119" s="17"/>
      <c r="W119" s="16"/>
      <c r="X119" s="15" t="s">
        <v>5</v>
      </c>
      <c r="Y119" s="14" t="s">
        <v>3</v>
      </c>
      <c r="Z119" s="13">
        <f>$G$119*AA119-0.1</f>
        <v>5.7238929409231654</v>
      </c>
      <c r="AA119" s="20">
        <f>$AB$126/($F$121-558160)*F119</f>
        <v>24863.542940095052</v>
      </c>
      <c r="AB119" s="11"/>
      <c r="AC119" s="17"/>
      <c r="AD119" s="16"/>
      <c r="AE119" s="15" t="s">
        <v>5</v>
      </c>
      <c r="AF119" s="14" t="s">
        <v>3</v>
      </c>
      <c r="AG119" s="13">
        <f>$G$119*AH119+0.1</f>
        <v>0.12677653646619835</v>
      </c>
      <c r="AH119" s="12">
        <f>$AI$126/($F$121-558160)*F119</f>
        <v>114.31521337492374</v>
      </c>
      <c r="AI119" s="11"/>
      <c r="AJ119" s="324"/>
      <c r="AK119" s="325"/>
      <c r="AL119" s="210" t="s">
        <v>5</v>
      </c>
      <c r="AM119" s="14" t="s">
        <v>3</v>
      </c>
      <c r="AN119" s="13">
        <f>$G$119*AO119</f>
        <v>0.99073120599914211</v>
      </c>
      <c r="AO119" s="12">
        <f>$AP$125/($F$121-558160)*F119</f>
        <v>4229.6601486886457</v>
      </c>
      <c r="AP119" s="219" t="s">
        <v>150</v>
      </c>
      <c r="AQ119" s="4">
        <f t="shared" si="31"/>
        <v>-1.2233498469793602E-7</v>
      </c>
    </row>
    <row r="120" spans="1:43" ht="27.75" thickBot="1" x14ac:dyDescent="0.25">
      <c r="A120" s="17"/>
      <c r="B120" s="16"/>
      <c r="C120" s="15" t="s">
        <v>4</v>
      </c>
      <c r="D120" s="14" t="s">
        <v>3</v>
      </c>
      <c r="E120" s="19">
        <v>30</v>
      </c>
      <c r="F120" s="19">
        <v>22200</v>
      </c>
      <c r="G120" s="18">
        <f t="shared" si="25"/>
        <v>1.3513513513513514E-3</v>
      </c>
      <c r="H120" s="17"/>
      <c r="I120" s="16"/>
      <c r="J120" s="15" t="s">
        <v>4</v>
      </c>
      <c r="K120" s="14" t="s">
        <v>3</v>
      </c>
      <c r="L120" s="13">
        <f>$G$120*M120</f>
        <v>14.150360544185261</v>
      </c>
      <c r="M120" s="12">
        <f>$N$126/($F$121-558160)*F120</f>
        <v>10471.266802697093</v>
      </c>
      <c r="N120" s="11"/>
      <c r="O120" s="17"/>
      <c r="P120" s="16"/>
      <c r="Q120" s="15" t="s">
        <v>4</v>
      </c>
      <c r="R120" s="14" t="s">
        <v>3</v>
      </c>
      <c r="S120" s="13">
        <f>$G$120*T120</f>
        <v>6.1792007229688507E-2</v>
      </c>
      <c r="T120" s="12">
        <f>$U$126/($F$121-558160)*F120</f>
        <v>45.726085349969495</v>
      </c>
      <c r="U120" s="11"/>
      <c r="V120" s="17"/>
      <c r="W120" s="16"/>
      <c r="X120" s="15" t="s">
        <v>4</v>
      </c>
      <c r="Y120" s="14" t="s">
        <v>3</v>
      </c>
      <c r="Z120" s="13">
        <f>$G$120*AA120</f>
        <v>13.439752940591919</v>
      </c>
      <c r="AA120" s="2">
        <f>$AB$126/($F$121-558160)*F120</f>
        <v>9945.4171760380195</v>
      </c>
      <c r="AB120" s="11"/>
      <c r="AC120" s="17"/>
      <c r="AD120" s="16"/>
      <c r="AE120" s="15" t="s">
        <v>4</v>
      </c>
      <c r="AF120" s="14" t="s">
        <v>3</v>
      </c>
      <c r="AG120" s="13">
        <f>$G$120*AH120</f>
        <v>6.1792007229688507E-2</v>
      </c>
      <c r="AH120" s="3">
        <f>$AI$126/($F$121-558160)*F120</f>
        <v>45.726085349969495</v>
      </c>
      <c r="AI120" s="11"/>
      <c r="AJ120" s="10"/>
      <c r="AK120" s="326"/>
      <c r="AL120" s="359" t="s">
        <v>4</v>
      </c>
      <c r="AM120" s="224" t="s">
        <v>3</v>
      </c>
      <c r="AN120" s="242">
        <f>$G$120*AO120</f>
        <v>2.2863027830749436</v>
      </c>
      <c r="AO120" s="306">
        <f>$AP$125/($F$121-558160)*F120</f>
        <v>1691.8640594754581</v>
      </c>
      <c r="AP120" s="227" t="s">
        <v>150</v>
      </c>
      <c r="AQ120" s="4">
        <f t="shared" si="31"/>
        <v>-2.8231150217550294E-7</v>
      </c>
    </row>
    <row r="121" spans="1:43" ht="15" hidden="1" thickBot="1" x14ac:dyDescent="0.25">
      <c r="A121" s="10"/>
      <c r="B121" s="9"/>
      <c r="C121" s="8" t="s">
        <v>2</v>
      </c>
      <c r="D121" s="7"/>
      <c r="E121" s="6"/>
      <c r="F121" s="6">
        <f>SUM(F93:F120)</f>
        <v>2434926.999475</v>
      </c>
      <c r="G121" s="5">
        <f>SUM(G113:G114)</f>
        <v>5.5066666666666667E-3</v>
      </c>
      <c r="H121" s="10"/>
      <c r="I121" s="9"/>
      <c r="J121" s="8" t="s">
        <v>2</v>
      </c>
      <c r="K121" s="7"/>
      <c r="L121" s="6"/>
      <c r="M121" s="6">
        <f>SUM(M93:M120)</f>
        <v>1172760.9814650966</v>
      </c>
      <c r="N121" s="5">
        <f>SUM(N113:N114)</f>
        <v>0</v>
      </c>
      <c r="O121" s="10"/>
      <c r="P121" s="9"/>
      <c r="Q121" s="8" t="s">
        <v>2</v>
      </c>
      <c r="R121" s="7"/>
      <c r="S121" s="6"/>
      <c r="T121" s="6">
        <f>SUM(T93:T120)</f>
        <v>5121.2294823803377</v>
      </c>
      <c r="U121" s="5">
        <f>SUM(U113:U114)</f>
        <v>0</v>
      </c>
      <c r="V121" s="10"/>
      <c r="W121" s="9"/>
      <c r="X121" s="8" t="s">
        <v>2</v>
      </c>
      <c r="Y121" s="7"/>
      <c r="Z121" s="6"/>
      <c r="AA121" s="6">
        <f>SUM(AA93:AA120)</f>
        <v>1070087.0663754356</v>
      </c>
      <c r="AB121" s="5">
        <f>SUM(AB113:AB114)</f>
        <v>0</v>
      </c>
      <c r="AC121" s="10"/>
      <c r="AD121" s="9"/>
      <c r="AE121" s="8" t="s">
        <v>2</v>
      </c>
      <c r="AF121" s="7"/>
      <c r="AG121" s="6"/>
      <c r="AH121" s="6">
        <f>SUM(AH93:AH120)</f>
        <v>4919.9430178180983</v>
      </c>
      <c r="AI121" s="5">
        <f>SUM(AI113:AI114)</f>
        <v>0</v>
      </c>
      <c r="AJ121" s="10"/>
      <c r="AK121" s="9"/>
      <c r="AL121" s="300" t="s">
        <v>2</v>
      </c>
      <c r="AM121" s="301"/>
      <c r="AN121" s="302"/>
      <c r="AO121" s="302">
        <f>SUM(AO93:AO120)</f>
        <v>182037.79879536631</v>
      </c>
      <c r="AP121" s="303">
        <f>SUM(AP113:AP114)</f>
        <v>0</v>
      </c>
      <c r="AQ121" s="4">
        <f t="shared" si="31"/>
        <v>0</v>
      </c>
    </row>
    <row r="122" spans="1:43" ht="15" hidden="1" thickBot="1" x14ac:dyDescent="0.25">
      <c r="A122" s="456" t="s">
        <v>1</v>
      </c>
      <c r="B122" s="457"/>
      <c r="C122" s="458"/>
      <c r="D122" s="458"/>
      <c r="E122" s="459"/>
      <c r="F122" s="452">
        <f>F13+F29+F42+F54+F67+F91+F121+F59</f>
        <v>79419999.003173232</v>
      </c>
      <c r="G122" s="454"/>
      <c r="H122" s="456" t="s">
        <v>1</v>
      </c>
      <c r="I122" s="457"/>
      <c r="J122" s="458"/>
      <c r="K122" s="458"/>
      <c r="L122" s="459"/>
      <c r="M122" s="452">
        <f>M13+M29+M42+M54+M67+M91+M121+M59</f>
        <v>37669664.163633719</v>
      </c>
      <c r="N122" s="454"/>
      <c r="O122" s="456" t="s">
        <v>1</v>
      </c>
      <c r="P122" s="457"/>
      <c r="Q122" s="458"/>
      <c r="R122" s="458"/>
      <c r="S122" s="459"/>
      <c r="T122" s="452">
        <f>T13+T29+T42+T54+T67+T91+T121+T59</f>
        <v>164496.35254861886</v>
      </c>
      <c r="U122" s="454"/>
      <c r="V122" s="456" t="s">
        <v>1</v>
      </c>
      <c r="W122" s="457"/>
      <c r="X122" s="458"/>
      <c r="Y122" s="458"/>
      <c r="Z122" s="459"/>
      <c r="AA122" s="452">
        <f>AA13+AA29+AA42+AA54+AA67+AA91+AA121+AA59</f>
        <v>35400860.563696675</v>
      </c>
      <c r="AB122" s="454"/>
      <c r="AC122" s="456" t="s">
        <v>1</v>
      </c>
      <c r="AD122" s="457"/>
      <c r="AE122" s="458"/>
      <c r="AF122" s="458"/>
      <c r="AG122" s="459"/>
      <c r="AH122" s="452">
        <f>AH13+AH29+AH42+AH54+AH67+AH91+AH121+AH59</f>
        <v>162762.57978711117</v>
      </c>
      <c r="AI122" s="454"/>
      <c r="AJ122" s="456" t="s">
        <v>1</v>
      </c>
      <c r="AK122" s="457"/>
      <c r="AL122" s="458"/>
      <c r="AM122" s="458"/>
      <c r="AN122" s="459"/>
      <c r="AO122" s="452">
        <f>AO13+AO29+AO42+AO54+AO67+AO91+AO121+AO59</f>
        <v>6022215.3592592096</v>
      </c>
      <c r="AP122" s="454"/>
      <c r="AQ122" s="4">
        <f t="shared" si="31"/>
        <v>0</v>
      </c>
    </row>
    <row r="123" spans="1:43" ht="15" hidden="1" thickBot="1" x14ac:dyDescent="0.25">
      <c r="A123" s="461" t="s">
        <v>0</v>
      </c>
      <c r="B123" s="462"/>
      <c r="C123" s="462"/>
      <c r="D123" s="462"/>
      <c r="E123" s="460"/>
      <c r="F123" s="453"/>
      <c r="G123" s="455"/>
      <c r="H123" s="461" t="s">
        <v>0</v>
      </c>
      <c r="I123" s="462"/>
      <c r="J123" s="462"/>
      <c r="K123" s="462"/>
      <c r="L123" s="460"/>
      <c r="M123" s="453"/>
      <c r="N123" s="455"/>
      <c r="O123" s="461" t="s">
        <v>0</v>
      </c>
      <c r="P123" s="462"/>
      <c r="Q123" s="462"/>
      <c r="R123" s="462"/>
      <c r="S123" s="460"/>
      <c r="T123" s="453"/>
      <c r="U123" s="455"/>
      <c r="V123" s="461" t="s">
        <v>0</v>
      </c>
      <c r="W123" s="462"/>
      <c r="X123" s="462"/>
      <c r="Y123" s="462"/>
      <c r="Z123" s="460"/>
      <c r="AA123" s="453"/>
      <c r="AB123" s="455"/>
      <c r="AC123" s="461" t="s">
        <v>0</v>
      </c>
      <c r="AD123" s="462"/>
      <c r="AE123" s="462"/>
      <c r="AF123" s="462"/>
      <c r="AG123" s="460"/>
      <c r="AH123" s="453"/>
      <c r="AI123" s="455"/>
      <c r="AJ123" s="461" t="s">
        <v>0</v>
      </c>
      <c r="AK123" s="462"/>
      <c r="AL123" s="462"/>
      <c r="AM123" s="462"/>
      <c r="AN123" s="460"/>
      <c r="AO123" s="453"/>
      <c r="AP123" s="455"/>
      <c r="AQ123" s="4">
        <f t="shared" si="31"/>
        <v>0</v>
      </c>
    </row>
    <row r="125" spans="1:43" x14ac:dyDescent="0.2">
      <c r="F125" s="2">
        <f>F121-F116</f>
        <v>1876767.0014749998</v>
      </c>
      <c r="M125" s="3">
        <v>37669664.158881456</v>
      </c>
      <c r="T125" s="3">
        <v>164496.35003878365</v>
      </c>
      <c r="AA125" s="3">
        <v>35400860.55780752</v>
      </c>
      <c r="AH125" s="3">
        <v>162762.57727727597</v>
      </c>
      <c r="AO125" s="3">
        <v>6022215.3592592105</v>
      </c>
      <c r="AP125" s="3">
        <f>($F$121-$F$116)/$G$2*L2</f>
        <v>143028.58713609679</v>
      </c>
    </row>
    <row r="126" spans="1:43" x14ac:dyDescent="0.2">
      <c r="M126" s="2">
        <f>M125-M122</f>
        <v>-4.7522634267807007E-3</v>
      </c>
      <c r="N126" s="1">
        <v>885230.99</v>
      </c>
      <c r="T126" s="2">
        <f>T125-T122</f>
        <v>-2.5098352052737027E-3</v>
      </c>
      <c r="U126" s="1">
        <v>3865.64</v>
      </c>
      <c r="AA126" s="2">
        <f>AA125-AA122</f>
        <v>-5.8891549706459045E-3</v>
      </c>
      <c r="AB126" s="1">
        <v>840776.16</v>
      </c>
      <c r="AH126" s="2">
        <f>AH125-AH122</f>
        <v>-2.5098352052737027E-3</v>
      </c>
      <c r="AI126" s="1">
        <v>3865.64</v>
      </c>
      <c r="AO126" s="2">
        <f>AO125-AO122</f>
        <v>0</v>
      </c>
    </row>
    <row r="127" spans="1:43" x14ac:dyDescent="0.2">
      <c r="F127" s="3">
        <v>79419999</v>
      </c>
    </row>
    <row r="128" spans="1:43" x14ac:dyDescent="0.2">
      <c r="F128" s="2">
        <f>F127-F122</f>
        <v>-3.1732320785522461E-3</v>
      </c>
      <c r="M128" s="2"/>
    </row>
  </sheetData>
  <mergeCells count="115">
    <mergeCell ref="AA122:AA123"/>
    <mergeCell ref="AM6:AP6"/>
    <mergeCell ref="AO122:AO123"/>
    <mergeCell ref="AP122:AP123"/>
    <mergeCell ref="AJ123:AM123"/>
    <mergeCell ref="AB122:AB123"/>
    <mergeCell ref="AC122:AF122"/>
    <mergeCell ref="AG122:AG123"/>
    <mergeCell ref="V123:Y123"/>
    <mergeCell ref="AC123:AF123"/>
    <mergeCell ref="AH122:AH123"/>
    <mergeCell ref="AI122:AI123"/>
    <mergeCell ref="AJ122:AM122"/>
    <mergeCell ref="AN122:AN123"/>
    <mergeCell ref="AD33:AD114"/>
    <mergeCell ref="AE33:AI33"/>
    <mergeCell ref="X34:AB34"/>
    <mergeCell ref="X60:AB60"/>
    <mergeCell ref="AE60:AI60"/>
    <mergeCell ref="AL60:AP60"/>
    <mergeCell ref="AE14:AI14"/>
    <mergeCell ref="AL14:AP14"/>
    <mergeCell ref="J68:N68"/>
    <mergeCell ref="Q68:U68"/>
    <mergeCell ref="X68:AB68"/>
    <mergeCell ref="AE68:AI68"/>
    <mergeCell ref="AL68:AP68"/>
    <mergeCell ref="AL34:AP34"/>
    <mergeCell ref="AL55:AP55"/>
    <mergeCell ref="A122:D122"/>
    <mergeCell ref="E122:E123"/>
    <mergeCell ref="F122:F123"/>
    <mergeCell ref="G122:G123"/>
    <mergeCell ref="H122:K122"/>
    <mergeCell ref="L122:L123"/>
    <mergeCell ref="A123:D123"/>
    <mergeCell ref="H123:K123"/>
    <mergeCell ref="M122:M123"/>
    <mergeCell ref="N122:N123"/>
    <mergeCell ref="O122:R122"/>
    <mergeCell ref="S122:S123"/>
    <mergeCell ref="T122:T123"/>
    <mergeCell ref="U122:U123"/>
    <mergeCell ref="O123:R123"/>
    <mergeCell ref="V122:Y122"/>
    <mergeCell ref="Z122:Z123"/>
    <mergeCell ref="Q43:U43"/>
    <mergeCell ref="X43:AB43"/>
    <mergeCell ref="AE43:AI43"/>
    <mergeCell ref="AL43:AP43"/>
    <mergeCell ref="AK33:AK114"/>
    <mergeCell ref="AL33:AP33"/>
    <mergeCell ref="X92:AB92"/>
    <mergeCell ref="AE92:AI92"/>
    <mergeCell ref="AL92:AP92"/>
    <mergeCell ref="AE30:AI30"/>
    <mergeCell ref="AL30:AP30"/>
    <mergeCell ref="AC10:AC114"/>
    <mergeCell ref="AD10:AD32"/>
    <mergeCell ref="AE10:AI10"/>
    <mergeCell ref="AJ10:AJ114"/>
    <mergeCell ref="AK10:AK32"/>
    <mergeCell ref="AL10:AP10"/>
    <mergeCell ref="AE11:AI11"/>
    <mergeCell ref="AL11:AP11"/>
    <mergeCell ref="AE34:AI34"/>
    <mergeCell ref="AE55:AI55"/>
    <mergeCell ref="A10:A114"/>
    <mergeCell ref="B10:B32"/>
    <mergeCell ref="C10:G10"/>
    <mergeCell ref="H10:H114"/>
    <mergeCell ref="I10:I32"/>
    <mergeCell ref="J10:N10"/>
    <mergeCell ref="C11:G11"/>
    <mergeCell ref="J11:N11"/>
    <mergeCell ref="C14:G14"/>
    <mergeCell ref="J14:N14"/>
    <mergeCell ref="C34:G34"/>
    <mergeCell ref="J34:N34"/>
    <mergeCell ref="C43:G43"/>
    <mergeCell ref="C60:G60"/>
    <mergeCell ref="J60:N60"/>
    <mergeCell ref="C92:G92"/>
    <mergeCell ref="J92:N92"/>
    <mergeCell ref="B33:B114"/>
    <mergeCell ref="C33:G33"/>
    <mergeCell ref="I33:I114"/>
    <mergeCell ref="J33:N33"/>
    <mergeCell ref="C55:G55"/>
    <mergeCell ref="J55:N55"/>
    <mergeCell ref="C68:G68"/>
    <mergeCell ref="C30:G30"/>
    <mergeCell ref="J30:N30"/>
    <mergeCell ref="Q30:U30"/>
    <mergeCell ref="X30:AB30"/>
    <mergeCell ref="O10:O114"/>
    <mergeCell ref="P10:P32"/>
    <mergeCell ref="Q10:U10"/>
    <mergeCell ref="V10:V114"/>
    <mergeCell ref="W10:W32"/>
    <mergeCell ref="X10:AB10"/>
    <mergeCell ref="P33:P114"/>
    <mergeCell ref="W33:W114"/>
    <mergeCell ref="X33:AB33"/>
    <mergeCell ref="Q14:U14"/>
    <mergeCell ref="X14:AB14"/>
    <mergeCell ref="Q34:U34"/>
    <mergeCell ref="Q60:U60"/>
    <mergeCell ref="Q92:U92"/>
    <mergeCell ref="Q33:U33"/>
    <mergeCell ref="Q55:U55"/>
    <mergeCell ref="X55:AB55"/>
    <mergeCell ref="Q11:U11"/>
    <mergeCell ref="X11:AB11"/>
    <mergeCell ref="J43:N43"/>
  </mergeCells>
  <pageMargins left="0.78740157480314965" right="0.31496062992125984" top="0.35433070866141736" bottom="0.35433070866141736" header="0.31496062992125984" footer="0.31496062992125984"/>
  <pageSetup paperSize="9" scale="7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view="pageBreakPreview" zoomScaleNormal="100" zoomScaleSheetLayoutView="100" workbookViewId="0">
      <pane ySplit="9" topLeftCell="A10" activePane="bottomLeft" state="frozen"/>
      <selection activeCell="B1" sqref="B1"/>
      <selection pane="bottomLeft" activeCell="D4" sqref="D4"/>
    </sheetView>
  </sheetViews>
  <sheetFormatPr defaultRowHeight="14.25" x14ac:dyDescent="0.2"/>
  <cols>
    <col min="1" max="1" width="20.5703125" style="1" customWidth="1"/>
    <col min="2" max="2" width="9.85546875" style="1" customWidth="1"/>
    <col min="3" max="3" width="26.140625" style="1" customWidth="1"/>
    <col min="4" max="4" width="21.85546875" style="1" customWidth="1"/>
    <col min="5" max="5" width="18.5703125" style="1" customWidth="1"/>
    <col min="6" max="6" width="18.5703125" style="1" hidden="1" customWidth="1"/>
    <col min="7" max="7" width="21.5703125" style="1" customWidth="1"/>
    <col min="8" max="8" width="20.5703125" style="1" hidden="1" customWidth="1"/>
    <col min="9" max="9" width="9.85546875" style="1" hidden="1" customWidth="1"/>
    <col min="10" max="10" width="26.140625" style="1" hidden="1" customWidth="1"/>
    <col min="11" max="11" width="21.85546875" style="1" hidden="1" customWidth="1"/>
    <col min="12" max="13" width="18.5703125" style="1" hidden="1" customWidth="1"/>
    <col min="14" max="14" width="21.5703125" style="1" hidden="1" customWidth="1"/>
    <col min="15" max="15" width="17.7109375" style="1" hidden="1" customWidth="1"/>
    <col min="16" max="16" width="17.28515625" style="1" hidden="1" customWidth="1"/>
    <col min="17" max="17" width="29.140625" style="1" hidden="1" customWidth="1"/>
    <col min="18" max="20" width="21.5703125" style="1" hidden="1" customWidth="1"/>
    <col min="21" max="22" width="15.7109375" style="1" hidden="1" customWidth="1"/>
    <col min="23" max="23" width="15.28515625" style="1" hidden="1" customWidth="1"/>
    <col min="24" max="26" width="0" style="1" hidden="1" customWidth="1"/>
    <col min="27" max="16384" width="9.140625" style="1"/>
  </cols>
  <sheetData>
    <row r="1" spans="1:24" ht="45.75" hidden="1" thickBot="1" x14ac:dyDescent="0.3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141"/>
      <c r="S1" s="141"/>
      <c r="X1" s="140"/>
    </row>
    <row r="2" spans="1:24" ht="15.75" hidden="1" thickBot="1" x14ac:dyDescent="0.3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SUM(Z2:AD2)</f>
        <v>0</v>
      </c>
      <c r="O2" s="141"/>
      <c r="P2" s="141"/>
      <c r="Q2" s="141"/>
      <c r="R2" s="141"/>
      <c r="S2" s="141"/>
      <c r="X2" s="140"/>
    </row>
    <row r="3" spans="1:24" ht="15" x14ac:dyDescent="0.25">
      <c r="D3" s="357" t="s">
        <v>175</v>
      </c>
      <c r="E3" s="357"/>
      <c r="F3" s="357"/>
      <c r="G3" s="357"/>
      <c r="H3" s="141"/>
      <c r="I3" s="141"/>
      <c r="J3" s="141"/>
      <c r="K3" s="141"/>
      <c r="L3" s="141"/>
      <c r="N3" s="141"/>
      <c r="O3" s="141"/>
      <c r="P3" s="141"/>
      <c r="Q3" s="141"/>
      <c r="R3" s="141"/>
      <c r="S3" s="141"/>
      <c r="X3" s="140"/>
    </row>
    <row r="4" spans="1:24" ht="15" x14ac:dyDescent="0.25">
      <c r="D4" s="357" t="s">
        <v>166</v>
      </c>
      <c r="E4" s="357"/>
      <c r="F4" s="357"/>
      <c r="G4" s="357"/>
      <c r="H4" s="141"/>
      <c r="I4" s="141"/>
      <c r="J4" s="141"/>
      <c r="K4" s="141"/>
      <c r="L4" s="141"/>
      <c r="N4" s="141"/>
      <c r="O4" s="141"/>
      <c r="P4" s="141"/>
      <c r="Q4" s="141"/>
      <c r="R4" s="141"/>
      <c r="S4" s="141"/>
      <c r="X4" s="140"/>
    </row>
    <row r="5" spans="1:24" ht="15" x14ac:dyDescent="0.25">
      <c r="D5" s="357" t="s">
        <v>167</v>
      </c>
      <c r="E5" s="357"/>
      <c r="F5" s="357"/>
      <c r="G5" s="357"/>
      <c r="H5" s="141"/>
      <c r="I5" s="141"/>
      <c r="J5" s="141"/>
      <c r="K5" s="141"/>
      <c r="L5" s="141"/>
      <c r="N5" s="141"/>
      <c r="O5" s="141"/>
      <c r="P5" s="141"/>
      <c r="Q5" s="141"/>
      <c r="R5" s="141"/>
      <c r="S5" s="141"/>
      <c r="X5" s="140"/>
    </row>
    <row r="6" spans="1:24" ht="41.25" customHeight="1" x14ac:dyDescent="0.25">
      <c r="D6" s="490" t="s">
        <v>168</v>
      </c>
      <c r="E6" s="490"/>
      <c r="F6" s="490"/>
      <c r="G6" s="490"/>
      <c r="H6" s="141"/>
      <c r="I6" s="141"/>
      <c r="J6" s="141"/>
      <c r="K6" s="141"/>
      <c r="L6" s="141"/>
      <c r="N6" s="141"/>
      <c r="O6" s="141"/>
      <c r="P6" s="141"/>
      <c r="Q6" s="141"/>
      <c r="R6" s="141"/>
      <c r="S6" s="141"/>
      <c r="X6" s="140"/>
    </row>
    <row r="7" spans="1:24" ht="15" x14ac:dyDescent="0.25">
      <c r="G7" s="141"/>
      <c r="H7" s="141"/>
      <c r="I7" s="141"/>
      <c r="J7" s="141"/>
      <c r="K7" s="141"/>
      <c r="L7" s="141"/>
      <c r="N7" s="141"/>
      <c r="O7" s="141"/>
      <c r="P7" s="141"/>
      <c r="Q7" s="141"/>
      <c r="R7" s="141"/>
      <c r="S7" s="141"/>
      <c r="X7" s="140"/>
    </row>
    <row r="8" spans="1:24" ht="15.75" thickBot="1" x14ac:dyDescent="0.3">
      <c r="G8" s="141"/>
      <c r="H8" s="141"/>
      <c r="I8" s="141"/>
      <c r="J8" s="141"/>
      <c r="K8" s="141"/>
      <c r="L8" s="141"/>
      <c r="N8" s="141"/>
      <c r="O8" s="141"/>
      <c r="P8" s="141"/>
      <c r="Q8" s="141"/>
      <c r="R8" s="141"/>
      <c r="S8" s="141"/>
      <c r="X8" s="140"/>
    </row>
    <row r="9" spans="1:24" ht="57.75" thickBot="1" x14ac:dyDescent="0.25">
      <c r="A9" s="139" t="s">
        <v>116</v>
      </c>
      <c r="B9" s="138" t="s">
        <v>115</v>
      </c>
      <c r="C9" s="138" t="s">
        <v>114</v>
      </c>
      <c r="D9" s="138" t="s">
        <v>113</v>
      </c>
      <c r="E9" s="138" t="s">
        <v>112</v>
      </c>
      <c r="F9" s="138" t="s">
        <v>111</v>
      </c>
      <c r="G9" s="138" t="s">
        <v>110</v>
      </c>
      <c r="H9" s="139" t="s">
        <v>116</v>
      </c>
      <c r="I9" s="138" t="s">
        <v>115</v>
      </c>
      <c r="J9" s="138" t="s">
        <v>114</v>
      </c>
      <c r="K9" s="138" t="s">
        <v>113</v>
      </c>
      <c r="L9" s="138" t="s">
        <v>112</v>
      </c>
      <c r="M9" s="138" t="s">
        <v>111</v>
      </c>
      <c r="N9" s="138" t="s">
        <v>110</v>
      </c>
      <c r="O9" s="139" t="s">
        <v>116</v>
      </c>
      <c r="P9" s="138" t="s">
        <v>115</v>
      </c>
      <c r="Q9" s="138" t="s">
        <v>114</v>
      </c>
      <c r="R9" s="138" t="s">
        <v>113</v>
      </c>
      <c r="S9" s="138" t="s">
        <v>112</v>
      </c>
      <c r="T9" s="138" t="s">
        <v>111</v>
      </c>
      <c r="U9" s="138" t="s">
        <v>110</v>
      </c>
      <c r="V9" s="16"/>
    </row>
    <row r="10" spans="1:24" ht="15" thickBot="1" x14ac:dyDescent="0.25">
      <c r="A10" s="137">
        <v>1</v>
      </c>
      <c r="B10" s="136">
        <v>2</v>
      </c>
      <c r="C10" s="136">
        <v>3</v>
      </c>
      <c r="D10" s="136">
        <v>4</v>
      </c>
      <c r="E10" s="136">
        <v>5</v>
      </c>
      <c r="F10" s="136"/>
      <c r="G10" s="136">
        <v>6</v>
      </c>
      <c r="H10" s="137">
        <v>1</v>
      </c>
      <c r="I10" s="136">
        <v>2</v>
      </c>
      <c r="J10" s="136">
        <v>3</v>
      </c>
      <c r="K10" s="136">
        <v>4</v>
      </c>
      <c r="L10" s="136">
        <v>5</v>
      </c>
      <c r="M10" s="136"/>
      <c r="N10" s="136">
        <v>6</v>
      </c>
      <c r="O10" s="137">
        <v>1</v>
      </c>
      <c r="P10" s="136">
        <v>2</v>
      </c>
      <c r="Q10" s="136">
        <v>3</v>
      </c>
      <c r="R10" s="136">
        <v>4</v>
      </c>
      <c r="S10" s="136">
        <v>5</v>
      </c>
      <c r="T10" s="136"/>
      <c r="U10" s="136">
        <v>6</v>
      </c>
      <c r="V10" s="16"/>
    </row>
    <row r="11" spans="1:24" ht="15.75" customHeight="1" thickBot="1" x14ac:dyDescent="0.25">
      <c r="A11" s="511" t="s">
        <v>144</v>
      </c>
      <c r="B11" s="493" t="s">
        <v>158</v>
      </c>
      <c r="C11" s="466" t="s">
        <v>100</v>
      </c>
      <c r="D11" s="466"/>
      <c r="E11" s="466"/>
      <c r="F11" s="466"/>
      <c r="G11" s="467"/>
      <c r="H11" s="469" t="s">
        <v>122</v>
      </c>
      <c r="I11" s="463" t="s">
        <v>124</v>
      </c>
      <c r="J11" s="466" t="s">
        <v>100</v>
      </c>
      <c r="K11" s="466"/>
      <c r="L11" s="466"/>
      <c r="M11" s="466"/>
      <c r="N11" s="467"/>
      <c r="O11" s="487" t="s">
        <v>125</v>
      </c>
      <c r="P11" s="463" t="s">
        <v>126</v>
      </c>
      <c r="Q11" s="466" t="s">
        <v>100</v>
      </c>
      <c r="R11" s="466"/>
      <c r="S11" s="466"/>
      <c r="T11" s="466"/>
      <c r="U11" s="467"/>
      <c r="V11" s="46"/>
    </row>
    <row r="12" spans="1:24" ht="15.75" customHeight="1" thickBot="1" x14ac:dyDescent="0.25">
      <c r="A12" s="512"/>
      <c r="B12" s="494"/>
      <c r="C12" s="466" t="s">
        <v>99</v>
      </c>
      <c r="D12" s="466"/>
      <c r="E12" s="466"/>
      <c r="F12" s="466"/>
      <c r="G12" s="467"/>
      <c r="H12" s="472"/>
      <c r="I12" s="464"/>
      <c r="J12" s="466" t="s">
        <v>99</v>
      </c>
      <c r="K12" s="466"/>
      <c r="L12" s="466"/>
      <c r="M12" s="468"/>
      <c r="N12" s="467"/>
      <c r="O12" s="488"/>
      <c r="P12" s="464"/>
      <c r="Q12" s="466" t="s">
        <v>99</v>
      </c>
      <c r="R12" s="466"/>
      <c r="S12" s="466"/>
      <c r="T12" s="468"/>
      <c r="U12" s="467"/>
      <c r="V12" s="46"/>
    </row>
    <row r="13" spans="1:24" ht="29.25" hidden="1" thickBot="1" x14ac:dyDescent="0.25">
      <c r="A13" s="512"/>
      <c r="B13" s="494"/>
      <c r="C13" s="228" t="s">
        <v>98</v>
      </c>
      <c r="D13" s="127" t="s">
        <v>37</v>
      </c>
      <c r="E13" s="221">
        <f>$V$13*F13</f>
        <v>8.7641606591143155</v>
      </c>
      <c r="F13" s="273">
        <v>2491560.3913491247</v>
      </c>
      <c r="G13" s="223"/>
      <c r="H13" s="472"/>
      <c r="I13" s="464"/>
      <c r="J13" s="38" t="s">
        <v>98</v>
      </c>
      <c r="K13" s="38" t="s">
        <v>37</v>
      </c>
      <c r="L13" s="132">
        <f>$V$13*M13</f>
        <v>8.3259526261586014</v>
      </c>
      <c r="M13" s="20">
        <v>2366982.3717816686</v>
      </c>
      <c r="N13" s="38"/>
      <c r="O13" s="488"/>
      <c r="P13" s="464"/>
      <c r="Q13" s="38" t="s">
        <v>98</v>
      </c>
      <c r="R13" s="38" t="s">
        <v>37</v>
      </c>
      <c r="S13" s="132">
        <f>$V$13*T13</f>
        <v>1.4098867147270855</v>
      </c>
      <c r="T13" s="20">
        <v>400816.236869207</v>
      </c>
      <c r="U13" s="38"/>
      <c r="V13" s="143">
        <f>X13/W13</f>
        <v>3.5175389244202575E-6</v>
      </c>
      <c r="W13" s="2">
        <f>T13+M13+F13</f>
        <v>5259359</v>
      </c>
      <c r="X13" s="1">
        <v>18.5</v>
      </c>
    </row>
    <row r="14" spans="1:24" ht="43.5" thickBot="1" x14ac:dyDescent="0.25">
      <c r="A14" s="512"/>
      <c r="B14" s="494"/>
      <c r="C14" s="124" t="s">
        <v>127</v>
      </c>
      <c r="D14" s="31" t="s">
        <v>37</v>
      </c>
      <c r="E14" s="41">
        <f>$V$13*F14</f>
        <v>8.7641606591143155</v>
      </c>
      <c r="F14" s="130">
        <f>SUM(F13)</f>
        <v>2491560.3913491247</v>
      </c>
      <c r="G14" s="71" t="s">
        <v>164</v>
      </c>
      <c r="H14" s="472"/>
      <c r="I14" s="464"/>
      <c r="J14" s="38" t="s">
        <v>127</v>
      </c>
      <c r="K14" s="38" t="s">
        <v>37</v>
      </c>
      <c r="L14" s="132">
        <f>$V$13*M14</f>
        <v>8.3259526261586014</v>
      </c>
      <c r="M14" s="130">
        <f>M13</f>
        <v>2366982.3717816686</v>
      </c>
      <c r="N14" s="38"/>
      <c r="O14" s="488"/>
      <c r="P14" s="464"/>
      <c r="Q14" s="38" t="s">
        <v>127</v>
      </c>
      <c r="R14" s="38" t="s">
        <v>37</v>
      </c>
      <c r="S14" s="132">
        <f>$V$13*T14</f>
        <v>1.4098867147270855</v>
      </c>
      <c r="T14" s="130">
        <f>SUM(T13)</f>
        <v>400816.236869207</v>
      </c>
      <c r="U14" s="38"/>
      <c r="V14" s="143"/>
      <c r="W14" s="2"/>
    </row>
    <row r="15" spans="1:24" ht="30.75" customHeight="1" x14ac:dyDescent="0.2">
      <c r="A15" s="512"/>
      <c r="B15" s="494"/>
      <c r="C15" s="471" t="s">
        <v>96</v>
      </c>
      <c r="D15" s="471"/>
      <c r="E15" s="471"/>
      <c r="F15" s="471"/>
      <c r="G15" s="472"/>
      <c r="H15" s="472"/>
      <c r="I15" s="464"/>
      <c r="J15" s="468" t="s">
        <v>96</v>
      </c>
      <c r="K15" s="468"/>
      <c r="L15" s="468"/>
      <c r="M15" s="471"/>
      <c r="N15" s="469"/>
      <c r="O15" s="488"/>
      <c r="P15" s="464"/>
      <c r="Q15" s="468" t="s">
        <v>96</v>
      </c>
      <c r="R15" s="468"/>
      <c r="S15" s="468"/>
      <c r="T15" s="471"/>
      <c r="U15" s="469"/>
      <c r="V15" s="143"/>
      <c r="W15" s="2"/>
    </row>
    <row r="16" spans="1:24" ht="15" thickBot="1" x14ac:dyDescent="0.25">
      <c r="A16" s="512"/>
      <c r="B16" s="494"/>
      <c r="C16" s="229" t="s">
        <v>128</v>
      </c>
      <c r="D16" s="224" t="s">
        <v>129</v>
      </c>
      <c r="E16" s="274">
        <f>$V$16*F16</f>
        <v>106238.80110387009</v>
      </c>
      <c r="F16" s="275">
        <v>4479528.466</v>
      </c>
      <c r="G16" s="227" t="s">
        <v>150</v>
      </c>
      <c r="H16" s="472"/>
      <c r="I16" s="465"/>
      <c r="J16" s="31" t="s">
        <v>128</v>
      </c>
      <c r="K16" s="31" t="s">
        <v>129</v>
      </c>
      <c r="L16" s="145">
        <f>$V$16*M16</f>
        <v>47712.895654811669</v>
      </c>
      <c r="M16" s="12">
        <v>2011800.5103620349</v>
      </c>
      <c r="N16" s="31"/>
      <c r="O16" s="488"/>
      <c r="P16" s="465"/>
      <c r="Q16" s="31" t="s">
        <v>128</v>
      </c>
      <c r="R16" s="31" t="s">
        <v>129</v>
      </c>
      <c r="S16" s="145">
        <f>$V$16*T16</f>
        <v>8079.5292413182233</v>
      </c>
      <c r="T16" s="12">
        <v>340671.02463796473</v>
      </c>
      <c r="U16" s="31"/>
      <c r="V16" s="143">
        <f t="shared" ref="V16" si="0">X16/W16</f>
        <v>2.3716514340790907E-2</v>
      </c>
      <c r="W16" s="2">
        <f t="shared" ref="W16" si="1">T16+M16+F16</f>
        <v>6832000.0010000002</v>
      </c>
      <c r="X16" s="1">
        <v>162031.226</v>
      </c>
    </row>
    <row r="17" spans="1:22" ht="15" hidden="1" thickBot="1" x14ac:dyDescent="0.25">
      <c r="A17" s="512"/>
      <c r="B17" s="494"/>
      <c r="C17" s="203" t="s">
        <v>2</v>
      </c>
      <c r="D17" s="110"/>
      <c r="E17" s="109"/>
      <c r="F17" s="112">
        <f>SUM(F16:F16)</f>
        <v>4479528.466</v>
      </c>
      <c r="G17" s="108"/>
      <c r="H17" s="472"/>
      <c r="I17" s="464"/>
      <c r="J17" s="111" t="s">
        <v>2</v>
      </c>
      <c r="K17" s="110"/>
      <c r="L17" s="109"/>
      <c r="M17" s="146">
        <f>SUM(M16:M16)</f>
        <v>2011800.5103620349</v>
      </c>
      <c r="N17" s="108"/>
      <c r="O17" s="488"/>
      <c r="P17" s="464"/>
      <c r="Q17" s="111" t="s">
        <v>2</v>
      </c>
      <c r="R17" s="110"/>
      <c r="S17" s="109"/>
      <c r="T17" s="112">
        <f>SUM(T16:T16)</f>
        <v>340671.02463796473</v>
      </c>
      <c r="U17" s="108"/>
      <c r="V17" s="147"/>
    </row>
    <row r="18" spans="1:22" ht="28.5" customHeight="1" thickBot="1" x14ac:dyDescent="0.25">
      <c r="A18" s="512"/>
      <c r="B18" s="494"/>
      <c r="C18" s="466" t="s">
        <v>81</v>
      </c>
      <c r="D18" s="466"/>
      <c r="E18" s="466"/>
      <c r="F18" s="466"/>
      <c r="G18" s="467"/>
      <c r="H18" s="472"/>
      <c r="I18" s="464"/>
      <c r="J18" s="466" t="s">
        <v>81</v>
      </c>
      <c r="K18" s="466"/>
      <c r="L18" s="466"/>
      <c r="M18" s="498"/>
      <c r="N18" s="467"/>
      <c r="O18" s="488"/>
      <c r="P18" s="464"/>
      <c r="Q18" s="466" t="s">
        <v>81</v>
      </c>
      <c r="R18" s="466"/>
      <c r="S18" s="466"/>
      <c r="T18" s="466"/>
      <c r="U18" s="467"/>
      <c r="V18" s="46"/>
    </row>
    <row r="19" spans="1:22" ht="15" thickBot="1" x14ac:dyDescent="0.25">
      <c r="A19" s="512"/>
      <c r="B19" s="494"/>
      <c r="C19" s="38" t="s">
        <v>140</v>
      </c>
      <c r="D19" s="38" t="s">
        <v>140</v>
      </c>
      <c r="E19" s="38" t="s">
        <v>140</v>
      </c>
      <c r="F19" s="38"/>
      <c r="G19" s="38" t="s">
        <v>140</v>
      </c>
      <c r="H19" s="472"/>
      <c r="I19" s="464"/>
      <c r="J19" s="38"/>
      <c r="K19" s="38"/>
      <c r="L19" s="38"/>
      <c r="M19" s="38"/>
      <c r="N19" s="38"/>
      <c r="O19" s="488"/>
      <c r="P19" s="464"/>
      <c r="Q19" s="38"/>
      <c r="R19" s="38"/>
      <c r="S19" s="38"/>
      <c r="T19" s="38"/>
      <c r="U19" s="38"/>
      <c r="V19" s="46"/>
    </row>
    <row r="20" spans="1:22" ht="15" hidden="1" customHeight="1" thickBot="1" x14ac:dyDescent="0.25">
      <c r="A20" s="512"/>
      <c r="B20" s="495"/>
      <c r="C20" s="38"/>
      <c r="D20" s="38"/>
      <c r="E20" s="38"/>
      <c r="F20" s="38"/>
      <c r="G20" s="38"/>
      <c r="H20" s="472"/>
      <c r="I20" s="473"/>
      <c r="J20" s="38"/>
      <c r="K20" s="38"/>
      <c r="L20" s="38"/>
      <c r="M20" s="38"/>
      <c r="N20" s="38"/>
      <c r="O20" s="488"/>
      <c r="P20" s="473"/>
      <c r="Q20" s="38"/>
      <c r="R20" s="38"/>
      <c r="S20" s="38"/>
      <c r="T20" s="38"/>
      <c r="U20" s="38"/>
      <c r="V20" s="46"/>
    </row>
    <row r="21" spans="1:22" ht="15.75" customHeight="1" thickBot="1" x14ac:dyDescent="0.25">
      <c r="A21" s="512"/>
      <c r="B21" s="463"/>
      <c r="C21" s="466" t="s">
        <v>80</v>
      </c>
      <c r="D21" s="466"/>
      <c r="E21" s="466"/>
      <c r="F21" s="466"/>
      <c r="G21" s="467"/>
      <c r="H21" s="472"/>
      <c r="I21" s="463"/>
      <c r="J21" s="466" t="s">
        <v>80</v>
      </c>
      <c r="K21" s="466"/>
      <c r="L21" s="466"/>
      <c r="M21" s="466"/>
      <c r="N21" s="467"/>
      <c r="O21" s="488"/>
      <c r="P21" s="463"/>
      <c r="Q21" s="466" t="s">
        <v>80</v>
      </c>
      <c r="R21" s="466"/>
      <c r="S21" s="466"/>
      <c r="T21" s="466"/>
      <c r="U21" s="467"/>
      <c r="V21" s="46"/>
    </row>
    <row r="22" spans="1:22" x14ac:dyDescent="0.2">
      <c r="A22" s="512"/>
      <c r="B22" s="464"/>
      <c r="C22" s="468" t="s">
        <v>79</v>
      </c>
      <c r="D22" s="468"/>
      <c r="E22" s="468"/>
      <c r="F22" s="468"/>
      <c r="G22" s="469"/>
      <c r="H22" s="472"/>
      <c r="I22" s="464"/>
      <c r="J22" s="468" t="s">
        <v>79</v>
      </c>
      <c r="K22" s="468"/>
      <c r="L22" s="468"/>
      <c r="M22" s="468"/>
      <c r="N22" s="469"/>
      <c r="O22" s="488"/>
      <c r="P22" s="464"/>
      <c r="Q22" s="468" t="s">
        <v>79</v>
      </c>
      <c r="R22" s="468"/>
      <c r="S22" s="468"/>
      <c r="T22" s="468"/>
      <c r="U22" s="469"/>
      <c r="V22" s="46"/>
    </row>
    <row r="23" spans="1:22" s="95" customFormat="1" x14ac:dyDescent="0.2">
      <c r="A23" s="512"/>
      <c r="B23" s="464"/>
      <c r="C23" s="277" t="s">
        <v>78</v>
      </c>
      <c r="D23" s="149" t="s">
        <v>77</v>
      </c>
      <c r="E23" s="30" t="s">
        <v>140</v>
      </c>
      <c r="F23" s="150">
        <v>0</v>
      </c>
      <c r="G23" s="96" t="s">
        <v>140</v>
      </c>
      <c r="H23" s="472"/>
      <c r="I23" s="465"/>
      <c r="J23" s="148" t="s">
        <v>78</v>
      </c>
      <c r="K23" s="149" t="s">
        <v>77</v>
      </c>
      <c r="L23" s="30"/>
      <c r="M23" s="150"/>
      <c r="N23" s="30"/>
      <c r="O23" s="488"/>
      <c r="P23" s="465"/>
      <c r="Q23" s="148" t="s">
        <v>78</v>
      </c>
      <c r="R23" s="149" t="s">
        <v>77</v>
      </c>
      <c r="S23" s="30"/>
      <c r="T23" s="150"/>
      <c r="U23" s="30"/>
      <c r="V23" s="151"/>
    </row>
    <row r="24" spans="1:22" s="95" customFormat="1" x14ac:dyDescent="0.2">
      <c r="A24" s="512"/>
      <c r="B24" s="464"/>
      <c r="C24" s="277" t="s">
        <v>76</v>
      </c>
      <c r="D24" s="152" t="s">
        <v>75</v>
      </c>
      <c r="E24" s="153" t="s">
        <v>140</v>
      </c>
      <c r="F24" s="150"/>
      <c r="G24" s="96" t="s">
        <v>140</v>
      </c>
      <c r="H24" s="472"/>
      <c r="I24" s="465"/>
      <c r="J24" s="148" t="s">
        <v>76</v>
      </c>
      <c r="K24" s="152" t="s">
        <v>75</v>
      </c>
      <c r="L24" s="153"/>
      <c r="M24" s="150"/>
      <c r="N24" s="30"/>
      <c r="O24" s="488"/>
      <c r="P24" s="465"/>
      <c r="Q24" s="148" t="s">
        <v>76</v>
      </c>
      <c r="R24" s="152" t="s">
        <v>75</v>
      </c>
      <c r="S24" s="153"/>
      <c r="T24" s="150"/>
      <c r="U24" s="30"/>
      <c r="V24" s="151"/>
    </row>
    <row r="25" spans="1:22" s="95" customFormat="1" x14ac:dyDescent="0.2">
      <c r="A25" s="512"/>
      <c r="B25" s="464"/>
      <c r="C25" s="277" t="s">
        <v>74</v>
      </c>
      <c r="D25" s="152" t="s">
        <v>69</v>
      </c>
      <c r="E25" s="153" t="s">
        <v>140</v>
      </c>
      <c r="F25" s="150"/>
      <c r="G25" s="96" t="s">
        <v>140</v>
      </c>
      <c r="H25" s="472"/>
      <c r="I25" s="465"/>
      <c r="J25" s="148" t="s">
        <v>74</v>
      </c>
      <c r="K25" s="152" t="s">
        <v>69</v>
      </c>
      <c r="L25" s="153"/>
      <c r="M25" s="150"/>
      <c r="N25" s="30"/>
      <c r="O25" s="488"/>
      <c r="P25" s="465"/>
      <c r="Q25" s="148" t="s">
        <v>74</v>
      </c>
      <c r="R25" s="152" t="s">
        <v>69</v>
      </c>
      <c r="S25" s="153"/>
      <c r="T25" s="150"/>
      <c r="U25" s="30"/>
      <c r="V25" s="151"/>
    </row>
    <row r="26" spans="1:22" s="95" customFormat="1" ht="25.5" x14ac:dyDescent="0.2">
      <c r="A26" s="512"/>
      <c r="B26" s="464"/>
      <c r="C26" s="278" t="s">
        <v>73</v>
      </c>
      <c r="D26" s="152" t="s">
        <v>69</v>
      </c>
      <c r="E26" s="153" t="s">
        <v>140</v>
      </c>
      <c r="F26" s="150"/>
      <c r="G26" s="96" t="s">
        <v>140</v>
      </c>
      <c r="H26" s="472"/>
      <c r="I26" s="465"/>
      <c r="J26" s="154" t="s">
        <v>73</v>
      </c>
      <c r="K26" s="152" t="s">
        <v>69</v>
      </c>
      <c r="L26" s="153"/>
      <c r="M26" s="150"/>
      <c r="N26" s="30"/>
      <c r="O26" s="488"/>
      <c r="P26" s="465"/>
      <c r="Q26" s="154" t="s">
        <v>73</v>
      </c>
      <c r="R26" s="152" t="s">
        <v>69</v>
      </c>
      <c r="S26" s="153"/>
      <c r="T26" s="150"/>
      <c r="U26" s="30"/>
      <c r="V26" s="151"/>
    </row>
    <row r="27" spans="1:22" s="95" customFormat="1" x14ac:dyDescent="0.2">
      <c r="A27" s="512"/>
      <c r="B27" s="464"/>
      <c r="C27" s="277" t="s">
        <v>72</v>
      </c>
      <c r="D27" s="152" t="s">
        <v>69</v>
      </c>
      <c r="E27" s="30" t="s">
        <v>140</v>
      </c>
      <c r="F27" s="155"/>
      <c r="G27" s="96" t="s">
        <v>140</v>
      </c>
      <c r="H27" s="472"/>
      <c r="I27" s="465"/>
      <c r="J27" s="148" t="s">
        <v>72</v>
      </c>
      <c r="K27" s="152" t="s">
        <v>69</v>
      </c>
      <c r="L27" s="30"/>
      <c r="M27" s="150"/>
      <c r="N27" s="30"/>
      <c r="O27" s="488"/>
      <c r="P27" s="465"/>
      <c r="Q27" s="148" t="s">
        <v>72</v>
      </c>
      <c r="R27" s="152" t="s">
        <v>69</v>
      </c>
      <c r="S27" s="30"/>
      <c r="T27" s="150"/>
      <c r="U27" s="30"/>
      <c r="V27" s="151"/>
    </row>
    <row r="28" spans="1:22" s="95" customFormat="1" ht="25.5" x14ac:dyDescent="0.2">
      <c r="A28" s="512"/>
      <c r="B28" s="464"/>
      <c r="C28" s="277" t="s">
        <v>71</v>
      </c>
      <c r="D28" s="152" t="s">
        <v>69</v>
      </c>
      <c r="E28" s="153" t="s">
        <v>140</v>
      </c>
      <c r="F28" s="150"/>
      <c r="G28" s="96" t="s">
        <v>140</v>
      </c>
      <c r="H28" s="472"/>
      <c r="I28" s="465"/>
      <c r="J28" s="148" t="s">
        <v>71</v>
      </c>
      <c r="K28" s="152" t="s">
        <v>69</v>
      </c>
      <c r="L28" s="153"/>
      <c r="M28" s="150"/>
      <c r="N28" s="30"/>
      <c r="O28" s="488"/>
      <c r="P28" s="465"/>
      <c r="Q28" s="148" t="s">
        <v>71</v>
      </c>
      <c r="R28" s="152" t="s">
        <v>69</v>
      </c>
      <c r="S28" s="153"/>
      <c r="T28" s="150"/>
      <c r="U28" s="30"/>
      <c r="V28" s="151"/>
    </row>
    <row r="29" spans="1:22" s="95" customFormat="1" x14ac:dyDescent="0.2">
      <c r="A29" s="512"/>
      <c r="B29" s="464"/>
      <c r="C29" s="277" t="s">
        <v>70</v>
      </c>
      <c r="D29" s="152" t="s">
        <v>69</v>
      </c>
      <c r="E29" s="153" t="s">
        <v>140</v>
      </c>
      <c r="F29" s="150"/>
      <c r="G29" s="96" t="s">
        <v>140</v>
      </c>
      <c r="H29" s="472"/>
      <c r="I29" s="465"/>
      <c r="J29" s="148" t="s">
        <v>70</v>
      </c>
      <c r="K29" s="152" t="s">
        <v>69</v>
      </c>
      <c r="L29" s="153"/>
      <c r="M29" s="150"/>
      <c r="N29" s="30"/>
      <c r="O29" s="488"/>
      <c r="P29" s="465"/>
      <c r="Q29" s="148" t="s">
        <v>70</v>
      </c>
      <c r="R29" s="152" t="s">
        <v>69</v>
      </c>
      <c r="S29" s="153"/>
      <c r="T29" s="150"/>
      <c r="U29" s="30"/>
      <c r="V29" s="151"/>
    </row>
    <row r="30" spans="1:22" ht="15" hidden="1" customHeight="1" thickBot="1" x14ac:dyDescent="0.25">
      <c r="A30" s="512"/>
      <c r="B30" s="464"/>
      <c r="C30" s="203" t="s">
        <v>2</v>
      </c>
      <c r="D30" s="110"/>
      <c r="E30" s="109"/>
      <c r="F30" s="112">
        <f>SUM(F23:F29)</f>
        <v>0</v>
      </c>
      <c r="G30" s="108"/>
      <c r="H30" s="472"/>
      <c r="I30" s="465"/>
      <c r="J30" s="111" t="s">
        <v>2</v>
      </c>
      <c r="K30" s="110"/>
      <c r="L30" s="109"/>
      <c r="M30" s="112">
        <f>SUM(M23:M29)</f>
        <v>0</v>
      </c>
      <c r="N30" s="108"/>
      <c r="O30" s="488"/>
      <c r="P30" s="465"/>
      <c r="Q30" s="111" t="s">
        <v>2</v>
      </c>
      <c r="R30" s="110"/>
      <c r="S30" s="109"/>
      <c r="T30" s="112">
        <f>SUM(T23:T29)</f>
        <v>0</v>
      </c>
      <c r="U30" s="108"/>
      <c r="V30" s="147"/>
    </row>
    <row r="31" spans="1:22" ht="33" customHeight="1" thickBot="1" x14ac:dyDescent="0.25">
      <c r="A31" s="512"/>
      <c r="B31" s="464"/>
      <c r="C31" s="471" t="s">
        <v>68</v>
      </c>
      <c r="D31" s="471"/>
      <c r="E31" s="471"/>
      <c r="F31" s="471"/>
      <c r="G31" s="472"/>
      <c r="H31" s="472"/>
      <c r="I31" s="464"/>
      <c r="J31" s="471" t="s">
        <v>68</v>
      </c>
      <c r="K31" s="471"/>
      <c r="L31" s="471"/>
      <c r="M31" s="471"/>
      <c r="N31" s="472"/>
      <c r="O31" s="488"/>
      <c r="P31" s="464"/>
      <c r="Q31" s="471" t="s">
        <v>68</v>
      </c>
      <c r="R31" s="471"/>
      <c r="S31" s="471"/>
      <c r="T31" s="471"/>
      <c r="U31" s="472"/>
      <c r="V31" s="46"/>
    </row>
    <row r="32" spans="1:22" ht="15" thickBot="1" x14ac:dyDescent="0.25">
      <c r="A32" s="512"/>
      <c r="B32" s="464"/>
      <c r="C32" s="105" t="s">
        <v>140</v>
      </c>
      <c r="D32" s="104" t="s">
        <v>140</v>
      </c>
      <c r="E32" s="156" t="s">
        <v>140</v>
      </c>
      <c r="F32" s="107"/>
      <c r="G32" s="59" t="s">
        <v>140</v>
      </c>
      <c r="H32" s="472"/>
      <c r="I32" s="464"/>
      <c r="J32" s="105"/>
      <c r="K32" s="104"/>
      <c r="L32" s="156"/>
      <c r="M32" s="2"/>
      <c r="N32" s="59"/>
      <c r="O32" s="488"/>
      <c r="P32" s="464"/>
      <c r="Q32" s="105"/>
      <c r="R32" s="104"/>
      <c r="S32" s="156"/>
      <c r="T32" s="2"/>
      <c r="U32" s="59"/>
      <c r="V32" s="157"/>
    </row>
    <row r="33" spans="1:23" ht="15" hidden="1" customHeight="1" thickBot="1" x14ac:dyDescent="0.25">
      <c r="A33" s="512"/>
      <c r="B33" s="464"/>
      <c r="C33" s="231" t="s">
        <v>2</v>
      </c>
      <c r="D33" s="80"/>
      <c r="E33" s="329"/>
      <c r="F33" s="82">
        <f>SUM(F32:F32)</f>
        <v>0</v>
      </c>
      <c r="G33" s="78"/>
      <c r="H33" s="472"/>
      <c r="I33" s="465"/>
      <c r="J33" s="81" t="s">
        <v>2</v>
      </c>
      <c r="K33" s="80"/>
      <c r="L33" s="79"/>
      <c r="M33" s="82">
        <f>SUM(M32:M32)</f>
        <v>0</v>
      </c>
      <c r="N33" s="78"/>
      <c r="O33" s="488"/>
      <c r="P33" s="465"/>
      <c r="Q33" s="81" t="s">
        <v>2</v>
      </c>
      <c r="R33" s="80"/>
      <c r="S33" s="79"/>
      <c r="T33" s="82">
        <f>SUM(T32:T32)</f>
        <v>0</v>
      </c>
      <c r="U33" s="78"/>
      <c r="V33" s="147"/>
    </row>
    <row r="34" spans="1:23" ht="26.25" customHeight="1" thickBot="1" x14ac:dyDescent="0.25">
      <c r="A34" s="512"/>
      <c r="B34" s="464"/>
      <c r="C34" s="482" t="s">
        <v>53</v>
      </c>
      <c r="D34" s="483"/>
      <c r="E34" s="483"/>
      <c r="F34" s="483"/>
      <c r="G34" s="485"/>
      <c r="H34" s="472"/>
      <c r="I34" s="465"/>
      <c r="J34" s="479" t="s">
        <v>53</v>
      </c>
      <c r="K34" s="480"/>
      <c r="L34" s="480"/>
      <c r="M34" s="480"/>
      <c r="N34" s="481"/>
      <c r="O34" s="488"/>
      <c r="P34" s="465"/>
      <c r="Q34" s="479" t="s">
        <v>53</v>
      </c>
      <c r="R34" s="480"/>
      <c r="S34" s="480"/>
      <c r="T34" s="480"/>
      <c r="U34" s="481"/>
      <c r="V34" s="158"/>
    </row>
    <row r="35" spans="1:23" x14ac:dyDescent="0.2">
      <c r="A35" s="512"/>
      <c r="B35" s="464"/>
      <c r="C35" s="73" t="s">
        <v>140</v>
      </c>
      <c r="D35" s="56" t="s">
        <v>140</v>
      </c>
      <c r="E35" s="31" t="s">
        <v>140</v>
      </c>
      <c r="F35" s="32"/>
      <c r="G35" s="71" t="s">
        <v>140</v>
      </c>
      <c r="H35" s="472"/>
      <c r="I35" s="464"/>
      <c r="J35" s="73"/>
      <c r="K35" s="56"/>
      <c r="L35" s="31"/>
      <c r="M35" s="2"/>
      <c r="N35" s="71"/>
      <c r="O35" s="488"/>
      <c r="P35" s="464"/>
      <c r="Q35" s="73"/>
      <c r="R35" s="56"/>
      <c r="S35" s="31"/>
      <c r="T35" s="2"/>
      <c r="U35" s="71"/>
      <c r="V35" s="46"/>
    </row>
    <row r="36" spans="1:23" ht="15" hidden="1" customHeight="1" thickBot="1" x14ac:dyDescent="0.25">
      <c r="A36" s="512"/>
      <c r="B36" s="464"/>
      <c r="C36" s="70" t="s">
        <v>2</v>
      </c>
      <c r="D36" s="69"/>
      <c r="E36" s="69"/>
      <c r="F36" s="52">
        <f>SUM(F35:F35)</f>
        <v>0</v>
      </c>
      <c r="G36" s="67"/>
      <c r="H36" s="472"/>
      <c r="I36" s="464"/>
      <c r="J36" s="70" t="s">
        <v>2</v>
      </c>
      <c r="K36" s="69"/>
      <c r="L36" s="69"/>
      <c r="M36" s="52">
        <f>SUM(M35:M35)</f>
        <v>0</v>
      </c>
      <c r="N36" s="67"/>
      <c r="O36" s="488"/>
      <c r="P36" s="464"/>
      <c r="Q36" s="70" t="s">
        <v>2</v>
      </c>
      <c r="R36" s="69"/>
      <c r="S36" s="69"/>
      <c r="T36" s="52">
        <f>SUM(T35:T35)</f>
        <v>0</v>
      </c>
      <c r="U36" s="67"/>
      <c r="V36" s="158"/>
    </row>
    <row r="37" spans="1:23" ht="15" thickBot="1" x14ac:dyDescent="0.25">
      <c r="A37" s="512"/>
      <c r="B37" s="464"/>
      <c r="C37" s="506" t="s">
        <v>49</v>
      </c>
      <c r="D37" s="506"/>
      <c r="E37" s="506"/>
      <c r="F37" s="506"/>
      <c r="G37" s="507"/>
      <c r="H37" s="472"/>
      <c r="I37" s="464"/>
      <c r="J37" s="474" t="s">
        <v>49</v>
      </c>
      <c r="K37" s="474"/>
      <c r="L37" s="474"/>
      <c r="M37" s="474"/>
      <c r="N37" s="475"/>
      <c r="O37" s="488"/>
      <c r="P37" s="464"/>
      <c r="Q37" s="474" t="s">
        <v>49</v>
      </c>
      <c r="R37" s="474"/>
      <c r="S37" s="474"/>
      <c r="T37" s="474"/>
      <c r="U37" s="475"/>
      <c r="V37" s="158"/>
    </row>
    <row r="38" spans="1:23" x14ac:dyDescent="0.2">
      <c r="A38" s="512"/>
      <c r="B38" s="464"/>
      <c r="C38" s="205" t="s">
        <v>48</v>
      </c>
      <c r="D38" s="63" t="s">
        <v>44</v>
      </c>
      <c r="E38" s="30" t="s">
        <v>140</v>
      </c>
      <c r="F38" s="150">
        <v>0</v>
      </c>
      <c r="G38" s="96" t="s">
        <v>140</v>
      </c>
      <c r="H38" s="472"/>
      <c r="I38" s="465"/>
      <c r="J38" s="64" t="s">
        <v>48</v>
      </c>
      <c r="K38" s="63" t="s">
        <v>44</v>
      </c>
      <c r="L38" s="66"/>
      <c r="M38" s="54"/>
      <c r="N38" s="59"/>
      <c r="O38" s="488"/>
      <c r="P38" s="465"/>
      <c r="Q38" s="64" t="s">
        <v>48</v>
      </c>
      <c r="R38" s="63" t="s">
        <v>44</v>
      </c>
      <c r="S38" s="66"/>
      <c r="T38" s="54"/>
      <c r="U38" s="59"/>
      <c r="V38" s="157"/>
    </row>
    <row r="39" spans="1:23" ht="51" x14ac:dyDescent="0.2">
      <c r="A39" s="512"/>
      <c r="B39" s="464"/>
      <c r="C39" s="73" t="s">
        <v>47</v>
      </c>
      <c r="D39" s="56" t="s">
        <v>44</v>
      </c>
      <c r="E39" s="153" t="s">
        <v>140</v>
      </c>
      <c r="F39" s="150"/>
      <c r="G39" s="96" t="s">
        <v>140</v>
      </c>
      <c r="H39" s="472"/>
      <c r="I39" s="465"/>
      <c r="J39" s="57" t="s">
        <v>47</v>
      </c>
      <c r="K39" s="56" t="s">
        <v>44</v>
      </c>
      <c r="L39" s="61"/>
      <c r="M39" s="54"/>
      <c r="N39" s="53"/>
      <c r="O39" s="488"/>
      <c r="P39" s="465"/>
      <c r="Q39" s="57" t="s">
        <v>47</v>
      </c>
      <c r="R39" s="56" t="s">
        <v>44</v>
      </c>
      <c r="S39" s="61"/>
      <c r="T39" s="54"/>
      <c r="U39" s="53"/>
      <c r="V39" s="157"/>
    </row>
    <row r="40" spans="1:23" ht="25.5" x14ac:dyDescent="0.2">
      <c r="A40" s="512"/>
      <c r="B40" s="464"/>
      <c r="C40" s="73" t="s">
        <v>46</v>
      </c>
      <c r="D40" s="56" t="s">
        <v>44</v>
      </c>
      <c r="E40" s="153" t="s">
        <v>140</v>
      </c>
      <c r="F40" s="150"/>
      <c r="G40" s="96" t="s">
        <v>140</v>
      </c>
      <c r="H40" s="472"/>
      <c r="I40" s="465"/>
      <c r="J40" s="57" t="s">
        <v>46</v>
      </c>
      <c r="K40" s="56" t="s">
        <v>44</v>
      </c>
      <c r="L40" s="61"/>
      <c r="M40" s="54"/>
      <c r="N40" s="53"/>
      <c r="O40" s="488"/>
      <c r="P40" s="465"/>
      <c r="Q40" s="57" t="s">
        <v>46</v>
      </c>
      <c r="R40" s="56" t="s">
        <v>44</v>
      </c>
      <c r="S40" s="61"/>
      <c r="T40" s="54"/>
      <c r="U40" s="53"/>
      <c r="V40" s="157"/>
    </row>
    <row r="41" spans="1:23" ht="25.5" x14ac:dyDescent="0.2">
      <c r="A41" s="512"/>
      <c r="B41" s="464"/>
      <c r="C41" s="73" t="s">
        <v>45</v>
      </c>
      <c r="D41" s="56" t="s">
        <v>44</v>
      </c>
      <c r="E41" s="153" t="s">
        <v>140</v>
      </c>
      <c r="F41" s="150"/>
      <c r="G41" s="96" t="s">
        <v>140</v>
      </c>
      <c r="H41" s="472"/>
      <c r="I41" s="465"/>
      <c r="J41" s="57" t="s">
        <v>45</v>
      </c>
      <c r="K41" s="56" t="s">
        <v>44</v>
      </c>
      <c r="L41" s="61"/>
      <c r="M41" s="54"/>
      <c r="N41" s="62"/>
      <c r="O41" s="488"/>
      <c r="P41" s="465"/>
      <c r="Q41" s="57" t="s">
        <v>45</v>
      </c>
      <c r="R41" s="56" t="s">
        <v>44</v>
      </c>
      <c r="S41" s="61"/>
      <c r="T41" s="54"/>
      <c r="U41" s="62"/>
      <c r="V41" s="159"/>
    </row>
    <row r="42" spans="1:23" ht="25.5" x14ac:dyDescent="0.2">
      <c r="A42" s="512"/>
      <c r="B42" s="464"/>
      <c r="C42" s="73" t="s">
        <v>130</v>
      </c>
      <c r="D42" s="56" t="s">
        <v>44</v>
      </c>
      <c r="E42" s="30" t="s">
        <v>140</v>
      </c>
      <c r="F42" s="155"/>
      <c r="G42" s="96" t="s">
        <v>140</v>
      </c>
      <c r="H42" s="472"/>
      <c r="I42" s="465"/>
      <c r="J42" s="57" t="s">
        <v>130</v>
      </c>
      <c r="K42" s="56" t="s">
        <v>44</v>
      </c>
      <c r="L42" s="61"/>
      <c r="M42" s="54"/>
      <c r="N42" s="53"/>
      <c r="O42" s="488"/>
      <c r="P42" s="465"/>
      <c r="Q42" s="57" t="s">
        <v>130</v>
      </c>
      <c r="R42" s="56" t="s">
        <v>44</v>
      </c>
      <c r="S42" s="61"/>
      <c r="T42" s="54"/>
      <c r="U42" s="53"/>
      <c r="V42" s="157"/>
    </row>
    <row r="43" spans="1:23" x14ac:dyDescent="0.2">
      <c r="A43" s="512"/>
      <c r="B43" s="464"/>
      <c r="C43" s="73" t="s">
        <v>43</v>
      </c>
      <c r="D43" s="56" t="s">
        <v>42</v>
      </c>
      <c r="E43" s="153" t="s">
        <v>140</v>
      </c>
      <c r="F43" s="150"/>
      <c r="G43" s="96" t="s">
        <v>140</v>
      </c>
      <c r="H43" s="472"/>
      <c r="I43" s="465"/>
      <c r="J43" s="57" t="s">
        <v>43</v>
      </c>
      <c r="K43" s="56" t="s">
        <v>42</v>
      </c>
      <c r="L43" s="61"/>
      <c r="M43" s="54"/>
      <c r="N43" s="53"/>
      <c r="O43" s="488"/>
      <c r="P43" s="465"/>
      <c r="Q43" s="57" t="s">
        <v>43</v>
      </c>
      <c r="R43" s="56" t="s">
        <v>42</v>
      </c>
      <c r="S43" s="61"/>
      <c r="T43" s="54"/>
      <c r="U43" s="53"/>
      <c r="V43" s="157"/>
    </row>
    <row r="44" spans="1:23" ht="26.25" thickBot="1" x14ac:dyDescent="0.25">
      <c r="A44" s="512"/>
      <c r="B44" s="464"/>
      <c r="C44" s="73" t="s">
        <v>41</v>
      </c>
      <c r="D44" s="56" t="s">
        <v>40</v>
      </c>
      <c r="E44" s="153" t="s">
        <v>140</v>
      </c>
      <c r="F44" s="150"/>
      <c r="G44" s="96" t="s">
        <v>140</v>
      </c>
      <c r="H44" s="472"/>
      <c r="I44" s="465"/>
      <c r="J44" s="57" t="s">
        <v>41</v>
      </c>
      <c r="K44" s="56" t="s">
        <v>40</v>
      </c>
      <c r="L44" s="61"/>
      <c r="M44" s="54"/>
      <c r="N44" s="53"/>
      <c r="O44" s="488"/>
      <c r="P44" s="465"/>
      <c r="Q44" s="57" t="s">
        <v>41</v>
      </c>
      <c r="R44" s="56" t="s">
        <v>40</v>
      </c>
      <c r="S44" s="61"/>
      <c r="T44" s="54"/>
      <c r="U44" s="53"/>
      <c r="V44" s="157"/>
    </row>
    <row r="45" spans="1:23" ht="15" hidden="1" customHeight="1" thickBot="1" x14ac:dyDescent="0.25">
      <c r="A45" s="512"/>
      <c r="B45" s="464"/>
      <c r="C45" s="206" t="s">
        <v>2</v>
      </c>
      <c r="D45" s="7"/>
      <c r="E45" s="52"/>
      <c r="F45" s="6">
        <f>SUM(F38:F44)</f>
        <v>0</v>
      </c>
      <c r="G45" s="5"/>
      <c r="H45" s="472"/>
      <c r="I45" s="465"/>
      <c r="J45" s="8" t="s">
        <v>2</v>
      </c>
      <c r="K45" s="7"/>
      <c r="L45" s="52"/>
      <c r="M45" s="6">
        <f>SUM(M38:M44)</f>
        <v>0</v>
      </c>
      <c r="N45" s="5"/>
      <c r="O45" s="488"/>
      <c r="P45" s="465"/>
      <c r="Q45" s="8" t="s">
        <v>2</v>
      </c>
      <c r="R45" s="7"/>
      <c r="S45" s="52"/>
      <c r="T45" s="6">
        <f>SUM(T38:T44)</f>
        <v>0</v>
      </c>
      <c r="U45" s="5"/>
      <c r="V45" s="147"/>
    </row>
    <row r="46" spans="1:23" ht="27" customHeight="1" thickBot="1" x14ac:dyDescent="0.25">
      <c r="A46" s="512"/>
      <c r="B46" s="464"/>
      <c r="C46" s="466" t="s">
        <v>39</v>
      </c>
      <c r="D46" s="466"/>
      <c r="E46" s="466"/>
      <c r="F46" s="466"/>
      <c r="G46" s="467"/>
      <c r="H46" s="472"/>
      <c r="I46" s="464"/>
      <c r="J46" s="466" t="s">
        <v>39</v>
      </c>
      <c r="K46" s="466"/>
      <c r="L46" s="466"/>
      <c r="M46" s="466"/>
      <c r="N46" s="469"/>
      <c r="O46" s="488"/>
      <c r="P46" s="464"/>
      <c r="Q46" s="466" t="s">
        <v>39</v>
      </c>
      <c r="R46" s="466"/>
      <c r="S46" s="466"/>
      <c r="T46" s="466"/>
      <c r="U46" s="469"/>
      <c r="V46" s="46"/>
    </row>
    <row r="47" spans="1:23" ht="89.25" x14ac:dyDescent="0.2">
      <c r="A47" s="512"/>
      <c r="B47" s="464"/>
      <c r="C47" s="279" t="s">
        <v>38</v>
      </c>
      <c r="D47" s="128" t="s">
        <v>37</v>
      </c>
      <c r="E47" s="128" t="s">
        <v>140</v>
      </c>
      <c r="F47" s="272"/>
      <c r="G47" s="340" t="s">
        <v>140</v>
      </c>
      <c r="H47" s="472"/>
      <c r="I47" s="464"/>
      <c r="J47" s="47" t="s">
        <v>38</v>
      </c>
      <c r="K47" s="50" t="s">
        <v>37</v>
      </c>
      <c r="L47" s="50"/>
      <c r="M47" s="3"/>
      <c r="N47" s="14"/>
      <c r="O47" s="472"/>
      <c r="P47" s="464"/>
      <c r="Q47" s="47" t="s">
        <v>38</v>
      </c>
      <c r="R47" s="50" t="s">
        <v>37</v>
      </c>
      <c r="S47" s="50"/>
      <c r="T47" s="3"/>
      <c r="U47" s="14"/>
      <c r="V47" s="46"/>
    </row>
    <row r="48" spans="1:23" ht="15" hidden="1" customHeight="1" x14ac:dyDescent="0.2">
      <c r="A48" s="512"/>
      <c r="B48" s="464"/>
      <c r="C48" s="207"/>
      <c r="D48" s="31"/>
      <c r="E48" s="31"/>
      <c r="F48" s="32"/>
      <c r="G48" s="71"/>
      <c r="H48" s="472"/>
      <c r="I48" s="465"/>
      <c r="J48" s="43"/>
      <c r="K48" s="31"/>
      <c r="L48" s="31"/>
      <c r="M48" s="160"/>
      <c r="N48" s="31"/>
      <c r="O48" s="472"/>
      <c r="P48" s="465"/>
      <c r="Q48" s="43"/>
      <c r="R48" s="31"/>
      <c r="S48" s="31"/>
      <c r="T48" s="160"/>
      <c r="U48" s="31"/>
      <c r="V48" s="46"/>
      <c r="W48" s="3"/>
    </row>
    <row r="49" spans="1:23" ht="15" hidden="1" customHeight="1" x14ac:dyDescent="0.2">
      <c r="A49" s="512"/>
      <c r="B49" s="464"/>
      <c r="C49" s="207"/>
      <c r="D49" s="31"/>
      <c r="E49" s="31"/>
      <c r="F49" s="32"/>
      <c r="G49" s="71"/>
      <c r="H49" s="472"/>
      <c r="I49" s="465"/>
      <c r="J49" s="43"/>
      <c r="K49" s="31"/>
      <c r="L49" s="31"/>
      <c r="M49" s="160"/>
      <c r="N49" s="31"/>
      <c r="O49" s="472"/>
      <c r="P49" s="465"/>
      <c r="Q49" s="43"/>
      <c r="R49" s="31"/>
      <c r="S49" s="31"/>
      <c r="T49" s="160"/>
      <c r="U49" s="31"/>
      <c r="V49" s="46"/>
      <c r="W49" s="3"/>
    </row>
    <row r="50" spans="1:23" ht="15" hidden="1" customHeight="1" x14ac:dyDescent="0.2">
      <c r="A50" s="512"/>
      <c r="B50" s="464"/>
      <c r="C50" s="207"/>
      <c r="D50" s="31"/>
      <c r="E50" s="31"/>
      <c r="F50" s="32"/>
      <c r="G50" s="71"/>
      <c r="H50" s="472"/>
      <c r="I50" s="465"/>
      <c r="J50" s="43"/>
      <c r="K50" s="31"/>
      <c r="L50" s="31"/>
      <c r="M50" s="160"/>
      <c r="N50" s="31"/>
      <c r="O50" s="472"/>
      <c r="P50" s="465"/>
      <c r="Q50" s="43"/>
      <c r="R50" s="31"/>
      <c r="S50" s="31"/>
      <c r="T50" s="160"/>
      <c r="U50" s="31"/>
      <c r="V50" s="46"/>
      <c r="W50" s="3"/>
    </row>
    <row r="51" spans="1:23" ht="15" hidden="1" customHeight="1" x14ac:dyDescent="0.2">
      <c r="A51" s="512"/>
      <c r="B51" s="464"/>
      <c r="C51" s="207"/>
      <c r="D51" s="31"/>
      <c r="E51" s="31"/>
      <c r="F51" s="32"/>
      <c r="G51" s="71"/>
      <c r="H51" s="472"/>
      <c r="I51" s="465"/>
      <c r="J51" s="43"/>
      <c r="K51" s="31"/>
      <c r="L51" s="31"/>
      <c r="M51" s="160"/>
      <c r="N51" s="31"/>
      <c r="O51" s="472"/>
      <c r="P51" s="465"/>
      <c r="Q51" s="43"/>
      <c r="R51" s="31"/>
      <c r="S51" s="31"/>
      <c r="T51" s="160"/>
      <c r="U51" s="31"/>
      <c r="V51" s="46"/>
      <c r="W51" s="3"/>
    </row>
    <row r="52" spans="1:23" ht="15" hidden="1" customHeight="1" x14ac:dyDescent="0.2">
      <c r="A52" s="512"/>
      <c r="B52" s="464"/>
      <c r="C52" s="207"/>
      <c r="D52" s="31"/>
      <c r="E52" s="31"/>
      <c r="F52" s="32"/>
      <c r="G52" s="71"/>
      <c r="H52" s="472"/>
      <c r="I52" s="465"/>
      <c r="J52" s="43"/>
      <c r="K52" s="31"/>
      <c r="L52" s="31"/>
      <c r="M52" s="160"/>
      <c r="N52" s="31"/>
      <c r="O52" s="472"/>
      <c r="P52" s="465"/>
      <c r="Q52" s="43"/>
      <c r="R52" s="31"/>
      <c r="S52" s="31"/>
      <c r="T52" s="160"/>
      <c r="U52" s="31"/>
      <c r="V52" s="46"/>
      <c r="W52" s="3"/>
    </row>
    <row r="53" spans="1:23" ht="15" hidden="1" customHeight="1" x14ac:dyDescent="0.2">
      <c r="A53" s="512"/>
      <c r="B53" s="464"/>
      <c r="C53" s="207"/>
      <c r="D53" s="31"/>
      <c r="E53" s="31"/>
      <c r="F53" s="32"/>
      <c r="G53" s="71"/>
      <c r="H53" s="472"/>
      <c r="I53" s="465"/>
      <c r="J53" s="43"/>
      <c r="K53" s="31"/>
      <c r="L53" s="31"/>
      <c r="M53" s="160"/>
      <c r="N53" s="31"/>
      <c r="O53" s="472"/>
      <c r="P53" s="465"/>
      <c r="Q53" s="43"/>
      <c r="R53" s="31"/>
      <c r="S53" s="31"/>
      <c r="T53" s="160"/>
      <c r="U53" s="31"/>
      <c r="V53" s="46"/>
      <c r="W53" s="3"/>
    </row>
    <row r="54" spans="1:23" ht="15" hidden="1" customHeight="1" x14ac:dyDescent="0.2">
      <c r="A54" s="512"/>
      <c r="B54" s="464"/>
      <c r="C54" s="207"/>
      <c r="D54" s="31"/>
      <c r="E54" s="31"/>
      <c r="F54" s="32"/>
      <c r="G54" s="71"/>
      <c r="H54" s="472"/>
      <c r="I54" s="465"/>
      <c r="J54" s="43"/>
      <c r="K54" s="31"/>
      <c r="L54" s="31"/>
      <c r="M54" s="160"/>
      <c r="N54" s="31"/>
      <c r="O54" s="472"/>
      <c r="P54" s="465"/>
      <c r="Q54" s="43"/>
      <c r="R54" s="31"/>
      <c r="S54" s="31"/>
      <c r="T54" s="160"/>
      <c r="U54" s="31"/>
      <c r="V54" s="46"/>
      <c r="W54" s="3"/>
    </row>
    <row r="55" spans="1:23" ht="15" hidden="1" customHeight="1" x14ac:dyDescent="0.2">
      <c r="A55" s="512"/>
      <c r="B55" s="464"/>
      <c r="C55" s="207"/>
      <c r="D55" s="31"/>
      <c r="E55" s="31"/>
      <c r="F55" s="32"/>
      <c r="G55" s="71"/>
      <c r="H55" s="472"/>
      <c r="I55" s="465"/>
      <c r="J55" s="43"/>
      <c r="K55" s="31"/>
      <c r="L55" s="31"/>
      <c r="M55" s="160"/>
      <c r="N55" s="31"/>
      <c r="O55" s="472"/>
      <c r="P55" s="465"/>
      <c r="Q55" s="43"/>
      <c r="R55" s="31"/>
      <c r="S55" s="31"/>
      <c r="T55" s="160"/>
      <c r="U55" s="31"/>
      <c r="V55" s="46"/>
      <c r="W55" s="3"/>
    </row>
    <row r="56" spans="1:23" ht="15" hidden="1" customHeight="1" x14ac:dyDescent="0.2">
      <c r="A56" s="512"/>
      <c r="B56" s="464"/>
      <c r="C56" s="207"/>
      <c r="D56" s="31"/>
      <c r="E56" s="31"/>
      <c r="F56" s="32"/>
      <c r="G56" s="71"/>
      <c r="H56" s="472"/>
      <c r="I56" s="465"/>
      <c r="J56" s="43"/>
      <c r="K56" s="31"/>
      <c r="L56" s="31"/>
      <c r="M56" s="160"/>
      <c r="N56" s="31"/>
      <c r="O56" s="472"/>
      <c r="P56" s="465"/>
      <c r="Q56" s="43"/>
      <c r="R56" s="31"/>
      <c r="S56" s="31"/>
      <c r="T56" s="160"/>
      <c r="U56" s="31"/>
      <c r="V56" s="46"/>
      <c r="W56" s="3"/>
    </row>
    <row r="57" spans="1:23" ht="15" hidden="1" customHeight="1" x14ac:dyDescent="0.2">
      <c r="A57" s="512"/>
      <c r="B57" s="464"/>
      <c r="C57" s="207"/>
      <c r="D57" s="31"/>
      <c r="E57" s="31"/>
      <c r="F57" s="32"/>
      <c r="G57" s="71"/>
      <c r="H57" s="472"/>
      <c r="I57" s="465"/>
      <c r="J57" s="43"/>
      <c r="K57" s="31"/>
      <c r="L57" s="31"/>
      <c r="M57" s="160"/>
      <c r="N57" s="31"/>
      <c r="O57" s="472"/>
      <c r="P57" s="465"/>
      <c r="Q57" s="43"/>
      <c r="R57" s="31"/>
      <c r="S57" s="31"/>
      <c r="T57" s="160"/>
      <c r="U57" s="31"/>
      <c r="V57" s="46"/>
      <c r="W57" s="3"/>
    </row>
    <row r="58" spans="1:23" ht="15" hidden="1" customHeight="1" x14ac:dyDescent="0.2">
      <c r="A58" s="512"/>
      <c r="B58" s="464"/>
      <c r="C58" s="207"/>
      <c r="D58" s="31"/>
      <c r="E58" s="31"/>
      <c r="F58" s="32"/>
      <c r="G58" s="71"/>
      <c r="H58" s="472"/>
      <c r="I58" s="465"/>
      <c r="J58" s="43"/>
      <c r="K58" s="31"/>
      <c r="L58" s="31"/>
      <c r="M58" s="160"/>
      <c r="N58" s="31"/>
      <c r="O58" s="472"/>
      <c r="P58" s="465"/>
      <c r="Q58" s="43"/>
      <c r="R58" s="31"/>
      <c r="S58" s="31"/>
      <c r="T58" s="160"/>
      <c r="U58" s="31"/>
      <c r="V58" s="46"/>
      <c r="W58" s="3"/>
    </row>
    <row r="59" spans="1:23" ht="15" hidden="1" customHeight="1" x14ac:dyDescent="0.2">
      <c r="A59" s="512"/>
      <c r="B59" s="464"/>
      <c r="C59" s="207"/>
      <c r="D59" s="31"/>
      <c r="E59" s="31"/>
      <c r="F59" s="32"/>
      <c r="G59" s="71"/>
      <c r="H59" s="472"/>
      <c r="I59" s="465"/>
      <c r="J59" s="43"/>
      <c r="K59" s="31"/>
      <c r="L59" s="31"/>
      <c r="M59" s="160"/>
      <c r="N59" s="31"/>
      <c r="O59" s="472"/>
      <c r="P59" s="465"/>
      <c r="Q59" s="43"/>
      <c r="R59" s="31"/>
      <c r="S59" s="31"/>
      <c r="T59" s="160"/>
      <c r="U59" s="31"/>
      <c r="V59" s="46"/>
      <c r="W59" s="3"/>
    </row>
    <row r="60" spans="1:23" ht="15" hidden="1" customHeight="1" x14ac:dyDescent="0.2">
      <c r="A60" s="512"/>
      <c r="B60" s="464"/>
      <c r="C60" s="207"/>
      <c r="D60" s="31"/>
      <c r="E60" s="31"/>
      <c r="F60" s="32"/>
      <c r="G60" s="71"/>
      <c r="H60" s="472"/>
      <c r="I60" s="465"/>
      <c r="J60" s="43"/>
      <c r="K60" s="31"/>
      <c r="L60" s="31"/>
      <c r="M60" s="160"/>
      <c r="N60" s="31"/>
      <c r="O60" s="472"/>
      <c r="P60" s="465"/>
      <c r="Q60" s="43"/>
      <c r="R60" s="31"/>
      <c r="S60" s="31"/>
      <c r="T60" s="160"/>
      <c r="U60" s="31"/>
      <c r="V60" s="46"/>
      <c r="W60" s="3"/>
    </row>
    <row r="61" spans="1:23" ht="15" hidden="1" customHeight="1" x14ac:dyDescent="0.2">
      <c r="A61" s="512"/>
      <c r="B61" s="464"/>
      <c r="C61" s="207"/>
      <c r="D61" s="31"/>
      <c r="E61" s="31"/>
      <c r="F61" s="32"/>
      <c r="G61" s="71"/>
      <c r="H61" s="472"/>
      <c r="I61" s="465"/>
      <c r="J61" s="43"/>
      <c r="K61" s="31"/>
      <c r="L61" s="31"/>
      <c r="M61" s="160"/>
      <c r="N61" s="31"/>
      <c r="O61" s="472"/>
      <c r="P61" s="465"/>
      <c r="Q61" s="43"/>
      <c r="R61" s="31"/>
      <c r="S61" s="31"/>
      <c r="T61" s="160"/>
      <c r="U61" s="31"/>
      <c r="V61" s="46"/>
      <c r="W61" s="3"/>
    </row>
    <row r="62" spans="1:23" ht="15" hidden="1" customHeight="1" x14ac:dyDescent="0.2">
      <c r="A62" s="512"/>
      <c r="B62" s="464"/>
      <c r="C62" s="207"/>
      <c r="D62" s="31"/>
      <c r="E62" s="31"/>
      <c r="F62" s="32"/>
      <c r="G62" s="71"/>
      <c r="H62" s="472"/>
      <c r="I62" s="465"/>
      <c r="J62" s="43"/>
      <c r="K62" s="31"/>
      <c r="L62" s="31"/>
      <c r="M62" s="160"/>
      <c r="N62" s="31"/>
      <c r="O62" s="472"/>
      <c r="P62" s="465"/>
      <c r="Q62" s="43"/>
      <c r="R62" s="31"/>
      <c r="S62" s="31"/>
      <c r="T62" s="160"/>
      <c r="U62" s="31"/>
      <c r="V62" s="46"/>
      <c r="W62" s="3"/>
    </row>
    <row r="63" spans="1:23" ht="15" hidden="1" customHeight="1" x14ac:dyDescent="0.2">
      <c r="A63" s="512"/>
      <c r="B63" s="464"/>
      <c r="C63" s="207"/>
      <c r="D63" s="31"/>
      <c r="E63" s="31"/>
      <c r="F63" s="32"/>
      <c r="G63" s="71"/>
      <c r="H63" s="472"/>
      <c r="I63" s="465"/>
      <c r="J63" s="43"/>
      <c r="K63" s="31"/>
      <c r="L63" s="31"/>
      <c r="M63" s="160"/>
      <c r="N63" s="31"/>
      <c r="O63" s="472"/>
      <c r="P63" s="465"/>
      <c r="Q63" s="43"/>
      <c r="R63" s="31"/>
      <c r="S63" s="31"/>
      <c r="T63" s="160"/>
      <c r="U63" s="31"/>
      <c r="V63" s="46"/>
      <c r="W63" s="3"/>
    </row>
    <row r="64" spans="1:23" ht="15" hidden="1" customHeight="1" x14ac:dyDescent="0.2">
      <c r="A64" s="512"/>
      <c r="B64" s="464"/>
      <c r="C64" s="207"/>
      <c r="D64" s="31"/>
      <c r="E64" s="31"/>
      <c r="F64" s="32"/>
      <c r="G64" s="71"/>
      <c r="H64" s="472"/>
      <c r="I64" s="465"/>
      <c r="J64" s="43"/>
      <c r="K64" s="31"/>
      <c r="L64" s="31"/>
      <c r="M64" s="160"/>
      <c r="N64" s="31"/>
      <c r="O64" s="472"/>
      <c r="P64" s="465"/>
      <c r="Q64" s="43"/>
      <c r="R64" s="31"/>
      <c r="S64" s="31"/>
      <c r="T64" s="160"/>
      <c r="U64" s="31"/>
      <c r="V64" s="46"/>
      <c r="W64" s="3"/>
    </row>
    <row r="65" spans="1:24" ht="15" hidden="1" customHeight="1" x14ac:dyDescent="0.2">
      <c r="A65" s="512"/>
      <c r="B65" s="464"/>
      <c r="C65" s="207"/>
      <c r="D65" s="31"/>
      <c r="E65" s="31"/>
      <c r="F65" s="32"/>
      <c r="G65" s="71"/>
      <c r="H65" s="472"/>
      <c r="I65" s="465"/>
      <c r="J65" s="43"/>
      <c r="K65" s="31"/>
      <c r="L65" s="31"/>
      <c r="M65" s="160"/>
      <c r="N65" s="31"/>
      <c r="O65" s="472"/>
      <c r="P65" s="465"/>
      <c r="Q65" s="43"/>
      <c r="R65" s="31"/>
      <c r="S65" s="31"/>
      <c r="T65" s="160"/>
      <c r="U65" s="31"/>
      <c r="V65" s="46"/>
      <c r="W65" s="3"/>
    </row>
    <row r="66" spans="1:24" ht="15" hidden="1" customHeight="1" x14ac:dyDescent="0.2">
      <c r="A66" s="512"/>
      <c r="B66" s="464"/>
      <c r="C66" s="207"/>
      <c r="D66" s="31"/>
      <c r="E66" s="31"/>
      <c r="F66" s="32"/>
      <c r="G66" s="71"/>
      <c r="H66" s="472"/>
      <c r="I66" s="465"/>
      <c r="J66" s="43"/>
      <c r="K66" s="31"/>
      <c r="L66" s="31"/>
      <c r="M66" s="160"/>
      <c r="N66" s="31"/>
      <c r="O66" s="472"/>
      <c r="P66" s="465"/>
      <c r="Q66" s="43"/>
      <c r="R66" s="31"/>
      <c r="S66" s="31"/>
      <c r="T66" s="160"/>
      <c r="U66" s="31"/>
      <c r="V66" s="46"/>
      <c r="W66" s="3"/>
    </row>
    <row r="67" spans="1:24" ht="15" hidden="1" customHeight="1" x14ac:dyDescent="0.2">
      <c r="A67" s="512"/>
      <c r="B67" s="464"/>
      <c r="C67" s="207"/>
      <c r="D67" s="31"/>
      <c r="E67" s="31"/>
      <c r="F67" s="32"/>
      <c r="G67" s="71"/>
      <c r="H67" s="472"/>
      <c r="I67" s="465"/>
      <c r="J67" s="43"/>
      <c r="K67" s="31"/>
      <c r="L67" s="31"/>
      <c r="M67" s="160"/>
      <c r="N67" s="31"/>
      <c r="O67" s="472"/>
      <c r="P67" s="465"/>
      <c r="Q67" s="43"/>
      <c r="R67" s="31"/>
      <c r="S67" s="31"/>
      <c r="T67" s="160"/>
      <c r="U67" s="31"/>
      <c r="V67" s="46"/>
      <c r="W67" s="3"/>
    </row>
    <row r="68" spans="1:24" ht="15" hidden="1" customHeight="1" x14ac:dyDescent="0.2">
      <c r="A68" s="512"/>
      <c r="B68" s="464"/>
      <c r="C68" s="207"/>
      <c r="D68" s="31"/>
      <c r="E68" s="31"/>
      <c r="F68" s="32"/>
      <c r="G68" s="71"/>
      <c r="H68" s="472"/>
      <c r="I68" s="465"/>
      <c r="J68" s="43"/>
      <c r="K68" s="31"/>
      <c r="L68" s="31"/>
      <c r="M68" s="160"/>
      <c r="N68" s="31"/>
      <c r="O68" s="472"/>
      <c r="P68" s="465"/>
      <c r="Q68" s="43"/>
      <c r="R68" s="31"/>
      <c r="S68" s="31"/>
      <c r="T68" s="160"/>
      <c r="U68" s="31"/>
      <c r="V68" s="46"/>
      <c r="W68" s="3"/>
    </row>
    <row r="69" spans="1:24" ht="15" thickBot="1" x14ac:dyDescent="0.25">
      <c r="A69" s="512"/>
      <c r="B69" s="464"/>
      <c r="C69" s="254"/>
      <c r="D69" s="14"/>
      <c r="E69" s="14"/>
      <c r="F69" s="19"/>
      <c r="G69" s="219"/>
      <c r="H69" s="472"/>
      <c r="I69" s="464"/>
      <c r="J69" s="38"/>
      <c r="K69" s="38"/>
      <c r="L69" s="39"/>
      <c r="M69" s="161"/>
      <c r="N69" s="128"/>
      <c r="O69" s="472"/>
      <c r="P69" s="464"/>
      <c r="Q69" s="38"/>
      <c r="R69" s="38"/>
      <c r="S69" s="39"/>
      <c r="T69" s="161"/>
      <c r="U69" s="128"/>
      <c r="V69" s="46"/>
    </row>
    <row r="70" spans="1:24" ht="15" customHeight="1" thickBot="1" x14ac:dyDescent="0.25">
      <c r="A70" s="512"/>
      <c r="B70" s="464"/>
      <c r="C70" s="466" t="s">
        <v>36</v>
      </c>
      <c r="D70" s="466"/>
      <c r="E70" s="466"/>
      <c r="F70" s="466"/>
      <c r="G70" s="467"/>
      <c r="H70" s="472"/>
      <c r="I70" s="464"/>
      <c r="J70" s="468" t="s">
        <v>36</v>
      </c>
      <c r="K70" s="468"/>
      <c r="L70" s="468"/>
      <c r="M70" s="468"/>
      <c r="N70" s="472"/>
      <c r="O70" s="488"/>
      <c r="P70" s="464"/>
      <c r="Q70" s="468" t="s">
        <v>36</v>
      </c>
      <c r="R70" s="468"/>
      <c r="S70" s="468"/>
      <c r="T70" s="468"/>
      <c r="U70" s="472"/>
      <c r="V70" s="46"/>
    </row>
    <row r="71" spans="1:24" ht="54.75" thickBot="1" x14ac:dyDescent="0.25">
      <c r="A71" s="10"/>
      <c r="B71" s="326"/>
      <c r="C71" s="387" t="s">
        <v>7</v>
      </c>
      <c r="D71" s="388" t="s">
        <v>3</v>
      </c>
      <c r="E71" s="389">
        <f>$V$71*F71</f>
        <v>0.47373841400617922</v>
      </c>
      <c r="F71" s="390">
        <v>326.87950566426366</v>
      </c>
      <c r="G71" s="391" t="s">
        <v>150</v>
      </c>
      <c r="H71" s="327"/>
      <c r="I71" s="16"/>
      <c r="J71" s="163" t="s">
        <v>7</v>
      </c>
      <c r="K71" s="31" t="s">
        <v>3</v>
      </c>
      <c r="L71" s="162">
        <f>$V$71*M71</f>
        <v>0.45005149330587024</v>
      </c>
      <c r="M71" s="12">
        <v>310.53553038105048</v>
      </c>
      <c r="N71" s="11"/>
      <c r="O71" s="17"/>
      <c r="P71" s="16"/>
      <c r="Q71" s="163" t="s">
        <v>7</v>
      </c>
      <c r="R71" s="31" t="s">
        <v>3</v>
      </c>
      <c r="S71" s="162">
        <f>$V$71*T71</f>
        <v>7.6210092687950565E-2</v>
      </c>
      <c r="T71" s="12">
        <v>52.58496395468589</v>
      </c>
      <c r="U71" s="11"/>
      <c r="V71" s="143">
        <f t="shared" ref="V71" si="2">X71/W71</f>
        <v>1.4492753623188406E-3</v>
      </c>
      <c r="W71" s="2">
        <f t="shared" ref="W71" si="3">T71+M71+F71</f>
        <v>690</v>
      </c>
      <c r="X71" s="1">
        <v>1</v>
      </c>
    </row>
    <row r="72" spans="1:24" ht="15" hidden="1" thickBot="1" x14ac:dyDescent="0.25">
      <c r="A72" s="10"/>
      <c r="B72" s="9"/>
      <c r="C72" s="300" t="s">
        <v>2</v>
      </c>
      <c r="D72" s="301"/>
      <c r="E72" s="302"/>
      <c r="F72" s="302">
        <f>SUM(F71:F71)</f>
        <v>326.87950566426366</v>
      </c>
      <c r="G72" s="303"/>
      <c r="H72" s="10"/>
      <c r="I72" s="9"/>
      <c r="J72" s="8" t="s">
        <v>2</v>
      </c>
      <c r="K72" s="7"/>
      <c r="L72" s="6"/>
      <c r="M72" s="6">
        <f>SUM(M71:M71)</f>
        <v>310.53553038105048</v>
      </c>
      <c r="N72" s="5"/>
      <c r="O72" s="10"/>
      <c r="P72" s="9"/>
      <c r="Q72" s="8" t="s">
        <v>2</v>
      </c>
      <c r="R72" s="7"/>
      <c r="S72" s="6"/>
      <c r="T72" s="6">
        <f>SUM(T71:T71)</f>
        <v>52.58496395468589</v>
      </c>
      <c r="U72" s="5"/>
      <c r="V72" s="147"/>
    </row>
    <row r="73" spans="1:24" ht="15.75" hidden="1" customHeight="1" thickBot="1" x14ac:dyDescent="0.25">
      <c r="A73" s="456" t="s">
        <v>1</v>
      </c>
      <c r="B73" s="457"/>
      <c r="C73" s="458"/>
      <c r="D73" s="458"/>
      <c r="E73" s="459"/>
      <c r="F73" s="452">
        <f>F14+F17+F30+F33+F45+F69+F72+F36</f>
        <v>6971415.7368547888</v>
      </c>
      <c r="G73" s="454"/>
      <c r="H73" s="456" t="s">
        <v>1</v>
      </c>
      <c r="I73" s="457"/>
      <c r="J73" s="458"/>
      <c r="K73" s="458"/>
      <c r="L73" s="459"/>
      <c r="M73" s="452">
        <f>M14+M17+M30+M33+M45+M69+M72+M36</f>
        <v>4379093.4176740842</v>
      </c>
      <c r="N73" s="454"/>
      <c r="O73" s="456" t="s">
        <v>1</v>
      </c>
      <c r="P73" s="457"/>
      <c r="Q73" s="458"/>
      <c r="R73" s="458"/>
      <c r="S73" s="459"/>
      <c r="T73" s="452">
        <f>T14+T17+T30+T33+T45+T69+T72+T36</f>
        <v>741539.84647112631</v>
      </c>
      <c r="U73" s="454"/>
      <c r="V73" s="164"/>
    </row>
    <row r="74" spans="1:24" ht="15" hidden="1" thickBot="1" x14ac:dyDescent="0.25">
      <c r="A74" s="461" t="s">
        <v>0</v>
      </c>
      <c r="B74" s="462"/>
      <c r="C74" s="462"/>
      <c r="D74" s="462"/>
      <c r="E74" s="460"/>
      <c r="F74" s="453"/>
      <c r="G74" s="455"/>
      <c r="H74" s="461" t="s">
        <v>0</v>
      </c>
      <c r="I74" s="462"/>
      <c r="J74" s="462"/>
      <c r="K74" s="462"/>
      <c r="L74" s="460"/>
      <c r="M74" s="453"/>
      <c r="N74" s="455"/>
      <c r="O74" s="461" t="s">
        <v>0</v>
      </c>
      <c r="P74" s="462"/>
      <c r="Q74" s="462"/>
      <c r="R74" s="462"/>
      <c r="S74" s="460"/>
      <c r="T74" s="453"/>
      <c r="U74" s="455"/>
      <c r="V74" s="164"/>
    </row>
    <row r="75" spans="1:24" x14ac:dyDescent="0.2">
      <c r="F75" s="1">
        <v>6971415.7368547888</v>
      </c>
      <c r="M75" s="1">
        <v>4379093.4176740842</v>
      </c>
      <c r="T75" s="1">
        <v>741539.84647112631</v>
      </c>
    </row>
    <row r="76" spans="1:24" x14ac:dyDescent="0.2">
      <c r="F76" s="2">
        <f>F73-F75</f>
        <v>0</v>
      </c>
      <c r="M76" s="2">
        <f>M73-M75</f>
        <v>0</v>
      </c>
      <c r="T76" s="2">
        <f>T73-T75</f>
        <v>0</v>
      </c>
    </row>
    <row r="77" spans="1:24" x14ac:dyDescent="0.2">
      <c r="M77" s="2"/>
      <c r="T77" s="2"/>
    </row>
    <row r="78" spans="1:24" x14ac:dyDescent="0.2">
      <c r="F78" s="3"/>
    </row>
    <row r="79" spans="1:24" x14ac:dyDescent="0.2">
      <c r="F79" s="2">
        <f>F78-F73</f>
        <v>-6971415.7368547888</v>
      </c>
      <c r="M79" s="2"/>
    </row>
  </sheetData>
  <mergeCells count="58">
    <mergeCell ref="D6:G6"/>
    <mergeCell ref="C15:G15"/>
    <mergeCell ref="J15:N15"/>
    <mergeCell ref="Q15:U15"/>
    <mergeCell ref="C18:G18"/>
    <mergeCell ref="J11:N11"/>
    <mergeCell ref="J18:N18"/>
    <mergeCell ref="J12:N12"/>
    <mergeCell ref="Q12:U12"/>
    <mergeCell ref="A11:A70"/>
    <mergeCell ref="B11:B20"/>
    <mergeCell ref="C11:G11"/>
    <mergeCell ref="H11:H70"/>
    <mergeCell ref="I11:I20"/>
    <mergeCell ref="C31:G31"/>
    <mergeCell ref="Q18:U18"/>
    <mergeCell ref="B21:B70"/>
    <mergeCell ref="C21:G21"/>
    <mergeCell ref="I21:I70"/>
    <mergeCell ref="J21:N21"/>
    <mergeCell ref="P21:P70"/>
    <mergeCell ref="Q21:U21"/>
    <mergeCell ref="C22:G22"/>
    <mergeCell ref="J22:N22"/>
    <mergeCell ref="Q22:U22"/>
    <mergeCell ref="O11:O70"/>
    <mergeCell ref="P11:P20"/>
    <mergeCell ref="Q11:U11"/>
    <mergeCell ref="C12:G12"/>
    <mergeCell ref="Q31:U31"/>
    <mergeCell ref="C34:G34"/>
    <mergeCell ref="J34:N34"/>
    <mergeCell ref="Q34:U34"/>
    <mergeCell ref="C37:G37"/>
    <mergeCell ref="J37:N37"/>
    <mergeCell ref="Q37:U37"/>
    <mergeCell ref="J31:N31"/>
    <mergeCell ref="J46:N46"/>
    <mergeCell ref="Q46:U46"/>
    <mergeCell ref="C70:G70"/>
    <mergeCell ref="J70:N70"/>
    <mergeCell ref="Q70:U70"/>
    <mergeCell ref="C46:G46"/>
    <mergeCell ref="U73:U74"/>
    <mergeCell ref="A74:D74"/>
    <mergeCell ref="H74:K74"/>
    <mergeCell ref="O74:R74"/>
    <mergeCell ref="L73:L74"/>
    <mergeCell ref="M73:M74"/>
    <mergeCell ref="N73:N74"/>
    <mergeCell ref="O73:R73"/>
    <mergeCell ref="S73:S74"/>
    <mergeCell ref="T73:T74"/>
    <mergeCell ref="A73:D73"/>
    <mergeCell ref="E73:E74"/>
    <mergeCell ref="F73:F74"/>
    <mergeCell ref="G73:G74"/>
    <mergeCell ref="H73:K73"/>
  </mergeCells>
  <pageMargins left="0.78740157480314965" right="0.31496062992125984" top="0.35433070866141736" bottom="0.35433070866141736" header="0.31496062992125984" footer="0.31496062992125984"/>
  <pageSetup paperSize="9" scale="75" orientation="portrait" r:id="rId1"/>
  <colBreaks count="1" manualBreakCount="1">
    <brk id="14" min="8" max="1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view="pageBreakPreview" topLeftCell="H1" zoomScaleNormal="100" zoomScaleSheetLayoutView="100" workbookViewId="0">
      <pane ySplit="10" topLeftCell="A11" activePane="bottomLeft" state="frozen"/>
      <selection activeCell="B1" sqref="B1"/>
      <selection pane="bottomLeft" activeCell="K9" sqref="K9"/>
    </sheetView>
  </sheetViews>
  <sheetFormatPr defaultRowHeight="14.25" x14ac:dyDescent="0.2"/>
  <cols>
    <col min="1" max="1" width="20.5703125" style="1" hidden="1" customWidth="1"/>
    <col min="2" max="2" width="9.85546875" style="1" hidden="1" customWidth="1"/>
    <col min="3" max="3" width="26.140625" style="1" hidden="1" customWidth="1"/>
    <col min="4" max="4" width="21.85546875" style="1" hidden="1" customWidth="1"/>
    <col min="5" max="6" width="18.5703125" style="1" hidden="1" customWidth="1"/>
    <col min="7" max="7" width="21.5703125" style="1" hidden="1" customWidth="1"/>
    <col min="8" max="8" width="20.5703125" style="1" customWidth="1"/>
    <col min="9" max="9" width="9.85546875" style="1" customWidth="1"/>
    <col min="10" max="10" width="26.140625" style="1" customWidth="1"/>
    <col min="11" max="11" width="21.85546875" style="1" customWidth="1"/>
    <col min="12" max="12" width="18.5703125" style="1" customWidth="1"/>
    <col min="13" max="13" width="18.5703125" style="1" hidden="1" customWidth="1"/>
    <col min="14" max="14" width="21.5703125" style="1" customWidth="1"/>
    <col min="15" max="15" width="17.7109375" style="1" hidden="1" customWidth="1"/>
    <col min="16" max="16" width="17.28515625" style="1" hidden="1" customWidth="1"/>
    <col min="17" max="17" width="29.140625" style="1" hidden="1" customWidth="1"/>
    <col min="18" max="20" width="21.5703125" style="1" hidden="1" customWidth="1"/>
    <col min="21" max="21" width="15.7109375" style="1" hidden="1" customWidth="1"/>
    <col min="22" max="22" width="15.7109375" style="1" customWidth="1"/>
    <col min="23" max="23" width="15.28515625" style="1" customWidth="1"/>
    <col min="24" max="16384" width="9.140625" style="1"/>
  </cols>
  <sheetData>
    <row r="1" spans="1:24" ht="45.75" hidden="1" thickBot="1" x14ac:dyDescent="0.3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141"/>
      <c r="S1" s="141"/>
      <c r="X1" s="140"/>
    </row>
    <row r="2" spans="1:24" ht="15.75" hidden="1" thickBot="1" x14ac:dyDescent="0.3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SUM(Z2:AD2)</f>
        <v>0</v>
      </c>
      <c r="O2" s="141"/>
      <c r="P2" s="141"/>
      <c r="Q2" s="141"/>
      <c r="R2" s="141"/>
      <c r="S2" s="141"/>
      <c r="X2" s="140"/>
    </row>
    <row r="3" spans="1:24" ht="15" hidden="1" x14ac:dyDescent="0.25">
      <c r="G3" s="141"/>
      <c r="H3" s="141"/>
      <c r="I3" s="141"/>
      <c r="J3" s="141"/>
      <c r="K3" s="141"/>
      <c r="L3" s="141"/>
      <c r="N3" s="141"/>
      <c r="O3" s="141"/>
      <c r="P3" s="141"/>
      <c r="Q3" s="141"/>
      <c r="R3" s="141"/>
      <c r="S3" s="141"/>
      <c r="X3" s="140"/>
    </row>
    <row r="4" spans="1:24" ht="15" x14ac:dyDescent="0.25">
      <c r="G4" s="141"/>
      <c r="H4" s="141"/>
      <c r="I4" s="141"/>
      <c r="J4" s="141"/>
      <c r="K4" s="395" t="s">
        <v>176</v>
      </c>
      <c r="L4" s="395"/>
      <c r="M4" s="395"/>
      <c r="N4" s="395"/>
      <c r="O4" s="141"/>
      <c r="P4" s="141"/>
      <c r="Q4" s="141"/>
      <c r="R4" s="141"/>
      <c r="S4" s="141"/>
      <c r="X4" s="140"/>
    </row>
    <row r="5" spans="1:24" ht="15" x14ac:dyDescent="0.25">
      <c r="G5" s="141"/>
      <c r="H5" s="141"/>
      <c r="I5" s="141"/>
      <c r="J5" s="141"/>
      <c r="K5" s="395" t="s">
        <v>166</v>
      </c>
      <c r="L5" s="395"/>
      <c r="M5" s="395"/>
      <c r="N5" s="395"/>
      <c r="O5" s="141"/>
      <c r="P5" s="141"/>
      <c r="Q5" s="141"/>
      <c r="R5" s="141"/>
      <c r="S5" s="141"/>
      <c r="X5" s="140"/>
    </row>
    <row r="6" spans="1:24" ht="15" x14ac:dyDescent="0.25">
      <c r="G6" s="141"/>
      <c r="H6" s="141"/>
      <c r="I6" s="141"/>
      <c r="J6" s="141"/>
      <c r="K6" s="395" t="s">
        <v>167</v>
      </c>
      <c r="L6" s="395"/>
      <c r="M6" s="395"/>
      <c r="N6" s="395"/>
      <c r="O6" s="141"/>
      <c r="P6" s="141"/>
      <c r="Q6" s="141"/>
      <c r="R6" s="141"/>
      <c r="S6" s="141"/>
      <c r="X6" s="140"/>
    </row>
    <row r="7" spans="1:24" ht="41.25" customHeight="1" x14ac:dyDescent="0.25">
      <c r="G7" s="141"/>
      <c r="H7" s="141"/>
      <c r="I7" s="141"/>
      <c r="J7" s="141"/>
      <c r="K7" s="519" t="s">
        <v>168</v>
      </c>
      <c r="L7" s="519"/>
      <c r="M7" s="519"/>
      <c r="N7" s="519"/>
      <c r="O7" s="141"/>
      <c r="P7" s="141"/>
      <c r="Q7" s="141"/>
      <c r="R7" s="141"/>
      <c r="S7" s="141"/>
      <c r="X7" s="140"/>
    </row>
    <row r="8" spans="1:24" ht="15" x14ac:dyDescent="0.25">
      <c r="G8" s="141"/>
      <c r="H8" s="141"/>
      <c r="I8" s="141"/>
      <c r="J8" s="141"/>
      <c r="K8" s="141"/>
      <c r="L8" s="141"/>
      <c r="M8" s="396"/>
      <c r="N8" s="141"/>
      <c r="O8" s="141"/>
      <c r="P8" s="141"/>
      <c r="Q8" s="141"/>
      <c r="R8" s="141"/>
      <c r="S8" s="141"/>
      <c r="X8" s="140"/>
    </row>
    <row r="9" spans="1:24" ht="15.75" thickBot="1" x14ac:dyDescent="0.3">
      <c r="G9" s="141"/>
      <c r="H9" s="141"/>
      <c r="I9" s="141"/>
      <c r="J9" s="141"/>
      <c r="K9" s="141"/>
      <c r="L9" s="141"/>
      <c r="M9" s="396"/>
      <c r="N9" s="141"/>
      <c r="O9" s="141"/>
      <c r="P9" s="141"/>
      <c r="Q9" s="141"/>
      <c r="R9" s="141"/>
      <c r="S9" s="141"/>
      <c r="X9" s="140"/>
    </row>
    <row r="10" spans="1:24" ht="57.75" thickBot="1" x14ac:dyDescent="0.25">
      <c r="A10" s="139" t="s">
        <v>116</v>
      </c>
      <c r="B10" s="138" t="s">
        <v>115</v>
      </c>
      <c r="C10" s="138" t="s">
        <v>114</v>
      </c>
      <c r="D10" s="138" t="s">
        <v>113</v>
      </c>
      <c r="E10" s="138" t="s">
        <v>112</v>
      </c>
      <c r="F10" s="138" t="s">
        <v>111</v>
      </c>
      <c r="G10" s="392" t="s">
        <v>110</v>
      </c>
      <c r="H10" s="139" t="s">
        <v>116</v>
      </c>
      <c r="I10" s="138" t="s">
        <v>115</v>
      </c>
      <c r="J10" s="138" t="s">
        <v>114</v>
      </c>
      <c r="K10" s="138" t="s">
        <v>113</v>
      </c>
      <c r="L10" s="138" t="s">
        <v>112</v>
      </c>
      <c r="M10" s="138" t="s">
        <v>111</v>
      </c>
      <c r="N10" s="138" t="s">
        <v>110</v>
      </c>
      <c r="O10" s="138" t="s">
        <v>116</v>
      </c>
      <c r="P10" s="138" t="s">
        <v>115</v>
      </c>
      <c r="Q10" s="138" t="s">
        <v>114</v>
      </c>
      <c r="R10" s="138" t="s">
        <v>113</v>
      </c>
      <c r="S10" s="138" t="s">
        <v>112</v>
      </c>
      <c r="T10" s="138" t="s">
        <v>111</v>
      </c>
      <c r="U10" s="138" t="s">
        <v>110</v>
      </c>
      <c r="V10" s="16"/>
    </row>
    <row r="11" spans="1:24" ht="15" thickBot="1" x14ac:dyDescent="0.25">
      <c r="A11" s="137">
        <v>1</v>
      </c>
      <c r="B11" s="136">
        <v>2</v>
      </c>
      <c r="C11" s="136">
        <v>3</v>
      </c>
      <c r="D11" s="136">
        <v>4</v>
      </c>
      <c r="E11" s="136">
        <v>5</v>
      </c>
      <c r="F11" s="136"/>
      <c r="G11" s="393">
        <v>6</v>
      </c>
      <c r="H11" s="326">
        <v>1</v>
      </c>
      <c r="I11" s="136">
        <v>2</v>
      </c>
      <c r="J11" s="136">
        <v>3</v>
      </c>
      <c r="K11" s="136">
        <v>4</v>
      </c>
      <c r="L11" s="136">
        <v>5</v>
      </c>
      <c r="M11" s="136"/>
      <c r="N11" s="136">
        <v>6</v>
      </c>
      <c r="O11" s="136">
        <v>1</v>
      </c>
      <c r="P11" s="136">
        <v>2</v>
      </c>
      <c r="Q11" s="136">
        <v>3</v>
      </c>
      <c r="R11" s="136">
        <v>4</v>
      </c>
      <c r="S11" s="136">
        <v>5</v>
      </c>
      <c r="T11" s="136"/>
      <c r="U11" s="136">
        <v>6</v>
      </c>
      <c r="V11" s="16"/>
    </row>
    <row r="12" spans="1:24" ht="15.75" customHeight="1" thickBot="1" x14ac:dyDescent="0.25">
      <c r="A12" s="487" t="s">
        <v>122</v>
      </c>
      <c r="B12" s="463" t="s">
        <v>123</v>
      </c>
      <c r="C12" s="466" t="s">
        <v>100</v>
      </c>
      <c r="D12" s="466"/>
      <c r="E12" s="466"/>
      <c r="F12" s="466"/>
      <c r="G12" s="466"/>
      <c r="H12" s="511" t="s">
        <v>144</v>
      </c>
      <c r="I12" s="516" t="s">
        <v>159</v>
      </c>
      <c r="J12" s="466" t="s">
        <v>100</v>
      </c>
      <c r="K12" s="466"/>
      <c r="L12" s="466"/>
      <c r="M12" s="466"/>
      <c r="N12" s="467"/>
      <c r="O12" s="469" t="s">
        <v>125</v>
      </c>
      <c r="P12" s="463" t="s">
        <v>126</v>
      </c>
      <c r="Q12" s="466" t="s">
        <v>100</v>
      </c>
      <c r="R12" s="466"/>
      <c r="S12" s="466"/>
      <c r="T12" s="466"/>
      <c r="U12" s="467"/>
      <c r="V12" s="46"/>
    </row>
    <row r="13" spans="1:24" ht="15.75" customHeight="1" thickBot="1" x14ac:dyDescent="0.25">
      <c r="A13" s="488"/>
      <c r="B13" s="464"/>
      <c r="C13" s="466" t="s">
        <v>99</v>
      </c>
      <c r="D13" s="466"/>
      <c r="E13" s="466"/>
      <c r="F13" s="466"/>
      <c r="G13" s="466"/>
      <c r="H13" s="512"/>
      <c r="I13" s="517"/>
      <c r="J13" s="468" t="s">
        <v>99</v>
      </c>
      <c r="K13" s="468"/>
      <c r="L13" s="468"/>
      <c r="M13" s="468"/>
      <c r="N13" s="469"/>
      <c r="O13" s="472"/>
      <c r="P13" s="464"/>
      <c r="Q13" s="466" t="s">
        <v>99</v>
      </c>
      <c r="R13" s="466"/>
      <c r="S13" s="466"/>
      <c r="T13" s="468"/>
      <c r="U13" s="467"/>
      <c r="V13" s="46"/>
    </row>
    <row r="14" spans="1:24" ht="29.25" hidden="1" thickBot="1" x14ac:dyDescent="0.25">
      <c r="A14" s="488"/>
      <c r="B14" s="464"/>
      <c r="C14" s="38" t="s">
        <v>98</v>
      </c>
      <c r="D14" s="38" t="s">
        <v>37</v>
      </c>
      <c r="E14" s="132">
        <f>$V$14*F14</f>
        <v>8.7641606591143155</v>
      </c>
      <c r="F14" s="135">
        <v>2491560.3913491247</v>
      </c>
      <c r="G14" s="328"/>
      <c r="H14" s="512"/>
      <c r="I14" s="517"/>
      <c r="J14" s="220" t="s">
        <v>98</v>
      </c>
      <c r="K14" s="127" t="s">
        <v>37</v>
      </c>
      <c r="L14" s="221">
        <f>$V$14*M14</f>
        <v>8.3259526261586014</v>
      </c>
      <c r="M14" s="222">
        <v>2366982.3717816686</v>
      </c>
      <c r="N14" s="223"/>
      <c r="O14" s="472"/>
      <c r="P14" s="464"/>
      <c r="Q14" s="38" t="s">
        <v>98</v>
      </c>
      <c r="R14" s="38" t="s">
        <v>37</v>
      </c>
      <c r="S14" s="132">
        <f>$V$14*T14</f>
        <v>1.4098867147270855</v>
      </c>
      <c r="T14" s="20">
        <v>400816.236869207</v>
      </c>
      <c r="U14" s="38"/>
      <c r="V14" s="143">
        <f>X14/W14</f>
        <v>3.5175389244202575E-6</v>
      </c>
      <c r="W14" s="2">
        <f>T14+M14+F14</f>
        <v>5259359</v>
      </c>
      <c r="X14" s="1">
        <v>18.5</v>
      </c>
    </row>
    <row r="15" spans="1:24" ht="43.5" thickBot="1" x14ac:dyDescent="0.25">
      <c r="A15" s="488"/>
      <c r="B15" s="464"/>
      <c r="C15" s="38" t="s">
        <v>127</v>
      </c>
      <c r="D15" s="38" t="s">
        <v>37</v>
      </c>
      <c r="E15" s="132">
        <f>$V$14*F15</f>
        <v>8.7641606591143155</v>
      </c>
      <c r="F15" s="134">
        <f>SUM(F14)</f>
        <v>2491560.3913491247</v>
      </c>
      <c r="G15" s="328"/>
      <c r="H15" s="512"/>
      <c r="I15" s="517"/>
      <c r="J15" s="194" t="s">
        <v>127</v>
      </c>
      <c r="K15" s="31" t="s">
        <v>37</v>
      </c>
      <c r="L15" s="41">
        <f>$V$14*M15</f>
        <v>8.3259526261586014</v>
      </c>
      <c r="M15" s="130">
        <f>M14</f>
        <v>2366982.3717816686</v>
      </c>
      <c r="N15" s="71" t="s">
        <v>164</v>
      </c>
      <c r="O15" s="472"/>
      <c r="P15" s="464"/>
      <c r="Q15" s="38" t="s">
        <v>127</v>
      </c>
      <c r="R15" s="38" t="s">
        <v>37</v>
      </c>
      <c r="S15" s="132">
        <f>$V$14*T15</f>
        <v>1.4098867147270855</v>
      </c>
      <c r="T15" s="130">
        <f>SUM(T14)</f>
        <v>400816.236869207</v>
      </c>
      <c r="U15" s="38"/>
      <c r="V15" s="143"/>
      <c r="W15" s="2"/>
    </row>
    <row r="16" spans="1:24" ht="30.75" customHeight="1" x14ac:dyDescent="0.2">
      <c r="A16" s="488"/>
      <c r="B16" s="464"/>
      <c r="C16" s="468" t="s">
        <v>96</v>
      </c>
      <c r="D16" s="468"/>
      <c r="E16" s="468"/>
      <c r="F16" s="468"/>
      <c r="G16" s="468"/>
      <c r="H16" s="512"/>
      <c r="I16" s="517"/>
      <c r="J16" s="497" t="s">
        <v>96</v>
      </c>
      <c r="K16" s="471"/>
      <c r="L16" s="471"/>
      <c r="M16" s="471"/>
      <c r="N16" s="472"/>
      <c r="O16" s="472"/>
      <c r="P16" s="464"/>
      <c r="Q16" s="468" t="s">
        <v>96</v>
      </c>
      <c r="R16" s="468"/>
      <c r="S16" s="468"/>
      <c r="T16" s="471"/>
      <c r="U16" s="469"/>
      <c r="V16" s="143"/>
      <c r="W16" s="2"/>
    </row>
    <row r="17" spans="1:24" ht="15" thickBot="1" x14ac:dyDescent="0.25">
      <c r="A17" s="488"/>
      <c r="B17" s="465"/>
      <c r="C17" s="31" t="s">
        <v>128</v>
      </c>
      <c r="D17" s="31" t="s">
        <v>129</v>
      </c>
      <c r="E17" s="144">
        <f>$V$17*F17</f>
        <v>106238.80110387009</v>
      </c>
      <c r="F17" s="32">
        <v>4479528.466</v>
      </c>
      <c r="G17" s="42"/>
      <c r="H17" s="512"/>
      <c r="I17" s="517"/>
      <c r="J17" s="194" t="s">
        <v>128</v>
      </c>
      <c r="K17" s="31" t="s">
        <v>129</v>
      </c>
      <c r="L17" s="145">
        <f>$V$17*M17</f>
        <v>47712.895654811669</v>
      </c>
      <c r="M17" s="12">
        <v>2011800.5103620349</v>
      </c>
      <c r="N17" s="71" t="s">
        <v>150</v>
      </c>
      <c r="O17" s="472"/>
      <c r="P17" s="465"/>
      <c r="Q17" s="31" t="s">
        <v>128</v>
      </c>
      <c r="R17" s="31" t="s">
        <v>129</v>
      </c>
      <c r="S17" s="145">
        <f>$V$17*T17</f>
        <v>8079.5292413182233</v>
      </c>
      <c r="T17" s="12">
        <v>340671.02463796473</v>
      </c>
      <c r="U17" s="31"/>
      <c r="V17" s="143">
        <f t="shared" ref="V17" si="0">X17/W17</f>
        <v>2.3716514340790907E-2</v>
      </c>
      <c r="W17" s="2">
        <f t="shared" ref="W17" si="1">T17+M17+F17</f>
        <v>6832000.0010000002</v>
      </c>
      <c r="X17" s="1">
        <v>162031.226</v>
      </c>
    </row>
    <row r="18" spans="1:24" ht="15" hidden="1" customHeight="1" thickBot="1" x14ac:dyDescent="0.25">
      <c r="A18" s="488"/>
      <c r="B18" s="464"/>
      <c r="C18" s="111" t="s">
        <v>2</v>
      </c>
      <c r="D18" s="110"/>
      <c r="E18" s="109"/>
      <c r="F18" s="112">
        <f>SUM(F17:F17)</f>
        <v>4479528.466</v>
      </c>
      <c r="G18" s="360"/>
      <c r="H18" s="512"/>
      <c r="I18" s="517"/>
      <c r="J18" s="111" t="s">
        <v>2</v>
      </c>
      <c r="K18" s="110"/>
      <c r="L18" s="109"/>
      <c r="M18" s="146">
        <f>SUM(M17:M17)</f>
        <v>2011800.5103620349</v>
      </c>
      <c r="N18" s="108"/>
      <c r="O18" s="472"/>
      <c r="P18" s="464"/>
      <c r="Q18" s="111" t="s">
        <v>2</v>
      </c>
      <c r="R18" s="110"/>
      <c r="S18" s="109"/>
      <c r="T18" s="112">
        <f>SUM(T17:T17)</f>
        <v>340671.02463796473</v>
      </c>
      <c r="U18" s="108"/>
      <c r="V18" s="147"/>
    </row>
    <row r="19" spans="1:24" ht="29.25" customHeight="1" thickBot="1" x14ac:dyDescent="0.25">
      <c r="A19" s="488"/>
      <c r="B19" s="464"/>
      <c r="C19" s="466" t="s">
        <v>81</v>
      </c>
      <c r="D19" s="466"/>
      <c r="E19" s="466"/>
      <c r="F19" s="466"/>
      <c r="G19" s="466"/>
      <c r="H19" s="512"/>
      <c r="I19" s="517"/>
      <c r="J19" s="470" t="s">
        <v>81</v>
      </c>
      <c r="K19" s="466"/>
      <c r="L19" s="466"/>
      <c r="M19" s="498"/>
      <c r="N19" s="467"/>
      <c r="O19" s="472"/>
      <c r="P19" s="464"/>
      <c r="Q19" s="466" t="s">
        <v>81</v>
      </c>
      <c r="R19" s="466"/>
      <c r="S19" s="466"/>
      <c r="T19" s="466"/>
      <c r="U19" s="467"/>
      <c r="V19" s="46"/>
    </row>
    <row r="20" spans="1:24" ht="15" thickBot="1" x14ac:dyDescent="0.25">
      <c r="A20" s="488"/>
      <c r="B20" s="464"/>
      <c r="C20" s="38"/>
      <c r="D20" s="38"/>
      <c r="E20" s="38"/>
      <c r="F20" s="38"/>
      <c r="G20" s="328"/>
      <c r="H20" s="512"/>
      <c r="I20" s="517"/>
      <c r="J20" s="10" t="s">
        <v>140</v>
      </c>
      <c r="K20" s="38" t="s">
        <v>140</v>
      </c>
      <c r="L20" s="38" t="s">
        <v>140</v>
      </c>
      <c r="M20" s="38"/>
      <c r="N20" s="38" t="s">
        <v>140</v>
      </c>
      <c r="O20" s="472"/>
      <c r="P20" s="464"/>
      <c r="Q20" s="38"/>
      <c r="R20" s="38"/>
      <c r="S20" s="38"/>
      <c r="T20" s="38"/>
      <c r="U20" s="38"/>
      <c r="V20" s="46"/>
    </row>
    <row r="21" spans="1:24" ht="15" hidden="1" thickBot="1" x14ac:dyDescent="0.25">
      <c r="A21" s="488"/>
      <c r="B21" s="473"/>
      <c r="C21" s="38"/>
      <c r="D21" s="38"/>
      <c r="E21" s="38"/>
      <c r="F21" s="38"/>
      <c r="G21" s="328"/>
      <c r="H21" s="512"/>
      <c r="I21" s="518"/>
      <c r="J21" s="10"/>
      <c r="K21" s="38"/>
      <c r="L21" s="38"/>
      <c r="M21" s="38"/>
      <c r="N21" s="38"/>
      <c r="O21" s="472"/>
      <c r="P21" s="473"/>
      <c r="Q21" s="38"/>
      <c r="R21" s="38"/>
      <c r="S21" s="38"/>
      <c r="T21" s="38"/>
      <c r="U21" s="38"/>
      <c r="V21" s="46"/>
    </row>
    <row r="22" spans="1:24" ht="15.75" customHeight="1" thickBot="1" x14ac:dyDescent="0.25">
      <c r="A22" s="488"/>
      <c r="B22" s="463"/>
      <c r="C22" s="466" t="s">
        <v>80</v>
      </c>
      <c r="D22" s="466"/>
      <c r="E22" s="466"/>
      <c r="F22" s="466"/>
      <c r="G22" s="466"/>
      <c r="H22" s="512"/>
      <c r="I22" s="463"/>
      <c r="J22" s="466" t="s">
        <v>80</v>
      </c>
      <c r="K22" s="466"/>
      <c r="L22" s="466"/>
      <c r="M22" s="466"/>
      <c r="N22" s="467"/>
      <c r="O22" s="472"/>
      <c r="P22" s="463"/>
      <c r="Q22" s="466" t="s">
        <v>80</v>
      </c>
      <c r="R22" s="466"/>
      <c r="S22" s="466"/>
      <c r="T22" s="466"/>
      <c r="U22" s="467"/>
      <c r="V22" s="46"/>
    </row>
    <row r="23" spans="1:24" x14ac:dyDescent="0.2">
      <c r="A23" s="488"/>
      <c r="B23" s="464"/>
      <c r="C23" s="468" t="s">
        <v>79</v>
      </c>
      <c r="D23" s="468"/>
      <c r="E23" s="468"/>
      <c r="F23" s="468"/>
      <c r="G23" s="468"/>
      <c r="H23" s="512"/>
      <c r="I23" s="464"/>
      <c r="J23" s="468" t="s">
        <v>79</v>
      </c>
      <c r="K23" s="468"/>
      <c r="L23" s="468"/>
      <c r="M23" s="468"/>
      <c r="N23" s="469"/>
      <c r="O23" s="472"/>
      <c r="P23" s="464"/>
      <c r="Q23" s="468" t="s">
        <v>79</v>
      </c>
      <c r="R23" s="468"/>
      <c r="S23" s="468"/>
      <c r="T23" s="468"/>
      <c r="U23" s="469"/>
      <c r="V23" s="46"/>
    </row>
    <row r="24" spans="1:24" s="95" customFormat="1" x14ac:dyDescent="0.2">
      <c r="A24" s="488"/>
      <c r="B24" s="465"/>
      <c r="C24" s="148" t="s">
        <v>78</v>
      </c>
      <c r="D24" s="149" t="s">
        <v>77</v>
      </c>
      <c r="E24" s="30"/>
      <c r="F24" s="150">
        <v>0</v>
      </c>
      <c r="G24" s="102"/>
      <c r="H24" s="512"/>
      <c r="I24" s="464"/>
      <c r="J24" s="277" t="s">
        <v>78</v>
      </c>
      <c r="K24" s="149" t="s">
        <v>77</v>
      </c>
      <c r="L24" s="30" t="s">
        <v>140</v>
      </c>
      <c r="M24" s="150"/>
      <c r="N24" s="96" t="s">
        <v>140</v>
      </c>
      <c r="O24" s="472"/>
      <c r="P24" s="465"/>
      <c r="Q24" s="148" t="s">
        <v>78</v>
      </c>
      <c r="R24" s="149" t="s">
        <v>77</v>
      </c>
      <c r="S24" s="30"/>
      <c r="T24" s="150"/>
      <c r="U24" s="30"/>
      <c r="V24" s="151"/>
    </row>
    <row r="25" spans="1:24" s="95" customFormat="1" x14ac:dyDescent="0.2">
      <c r="A25" s="488"/>
      <c r="B25" s="465"/>
      <c r="C25" s="148" t="s">
        <v>76</v>
      </c>
      <c r="D25" s="152" t="s">
        <v>75</v>
      </c>
      <c r="E25" s="153"/>
      <c r="F25" s="150"/>
      <c r="G25" s="102"/>
      <c r="H25" s="512"/>
      <c r="I25" s="464"/>
      <c r="J25" s="277" t="s">
        <v>76</v>
      </c>
      <c r="K25" s="152" t="s">
        <v>75</v>
      </c>
      <c r="L25" s="153" t="s">
        <v>140</v>
      </c>
      <c r="M25" s="150"/>
      <c r="N25" s="96" t="s">
        <v>140</v>
      </c>
      <c r="O25" s="472"/>
      <c r="P25" s="465"/>
      <c r="Q25" s="148" t="s">
        <v>76</v>
      </c>
      <c r="R25" s="152" t="s">
        <v>75</v>
      </c>
      <c r="S25" s="153"/>
      <c r="T25" s="150"/>
      <c r="U25" s="30"/>
      <c r="V25" s="151"/>
    </row>
    <row r="26" spans="1:24" s="95" customFormat="1" x14ac:dyDescent="0.2">
      <c r="A26" s="488"/>
      <c r="B26" s="465"/>
      <c r="C26" s="148" t="s">
        <v>74</v>
      </c>
      <c r="D26" s="152" t="s">
        <v>69</v>
      </c>
      <c r="E26" s="153"/>
      <c r="F26" s="150"/>
      <c r="G26" s="102"/>
      <c r="H26" s="512"/>
      <c r="I26" s="464"/>
      <c r="J26" s="277" t="s">
        <v>74</v>
      </c>
      <c r="K26" s="152" t="s">
        <v>69</v>
      </c>
      <c r="L26" s="153" t="s">
        <v>140</v>
      </c>
      <c r="M26" s="150"/>
      <c r="N26" s="96" t="s">
        <v>140</v>
      </c>
      <c r="O26" s="472"/>
      <c r="P26" s="465"/>
      <c r="Q26" s="148" t="s">
        <v>74</v>
      </c>
      <c r="R26" s="152" t="s">
        <v>69</v>
      </c>
      <c r="S26" s="153"/>
      <c r="T26" s="150"/>
      <c r="U26" s="30"/>
      <c r="V26" s="151"/>
    </row>
    <row r="27" spans="1:24" s="95" customFormat="1" ht="25.5" x14ac:dyDescent="0.2">
      <c r="A27" s="488"/>
      <c r="B27" s="465"/>
      <c r="C27" s="154" t="s">
        <v>73</v>
      </c>
      <c r="D27" s="152" t="s">
        <v>69</v>
      </c>
      <c r="E27" s="153"/>
      <c r="F27" s="150"/>
      <c r="G27" s="102"/>
      <c r="H27" s="512"/>
      <c r="I27" s="464"/>
      <c r="J27" s="278" t="s">
        <v>73</v>
      </c>
      <c r="K27" s="152" t="s">
        <v>69</v>
      </c>
      <c r="L27" s="153" t="s">
        <v>140</v>
      </c>
      <c r="M27" s="150"/>
      <c r="N27" s="96" t="s">
        <v>140</v>
      </c>
      <c r="O27" s="472"/>
      <c r="P27" s="465"/>
      <c r="Q27" s="154" t="s">
        <v>73</v>
      </c>
      <c r="R27" s="152" t="s">
        <v>69</v>
      </c>
      <c r="S27" s="153"/>
      <c r="T27" s="150"/>
      <c r="U27" s="30"/>
      <c r="V27" s="151"/>
    </row>
    <row r="28" spans="1:24" s="95" customFormat="1" x14ac:dyDescent="0.2">
      <c r="A28" s="488"/>
      <c r="B28" s="465"/>
      <c r="C28" s="148" t="s">
        <v>72</v>
      </c>
      <c r="D28" s="152" t="s">
        <v>69</v>
      </c>
      <c r="E28" s="30"/>
      <c r="F28" s="155"/>
      <c r="G28" s="102"/>
      <c r="H28" s="512"/>
      <c r="I28" s="464"/>
      <c r="J28" s="277" t="s">
        <v>72</v>
      </c>
      <c r="K28" s="152" t="s">
        <v>69</v>
      </c>
      <c r="L28" s="30" t="s">
        <v>140</v>
      </c>
      <c r="M28" s="150"/>
      <c r="N28" s="96" t="s">
        <v>140</v>
      </c>
      <c r="O28" s="472"/>
      <c r="P28" s="465"/>
      <c r="Q28" s="148" t="s">
        <v>72</v>
      </c>
      <c r="R28" s="152" t="s">
        <v>69</v>
      </c>
      <c r="S28" s="30"/>
      <c r="T28" s="150"/>
      <c r="U28" s="30"/>
      <c r="V28" s="151"/>
    </row>
    <row r="29" spans="1:24" s="95" customFormat="1" ht="25.5" x14ac:dyDescent="0.2">
      <c r="A29" s="488"/>
      <c r="B29" s="465"/>
      <c r="C29" s="148" t="s">
        <v>71</v>
      </c>
      <c r="D29" s="152" t="s">
        <v>69</v>
      </c>
      <c r="E29" s="153"/>
      <c r="F29" s="150"/>
      <c r="G29" s="102"/>
      <c r="H29" s="512"/>
      <c r="I29" s="464"/>
      <c r="J29" s="277" t="s">
        <v>71</v>
      </c>
      <c r="K29" s="152" t="s">
        <v>69</v>
      </c>
      <c r="L29" s="153" t="s">
        <v>140</v>
      </c>
      <c r="M29" s="150"/>
      <c r="N29" s="96" t="s">
        <v>140</v>
      </c>
      <c r="O29" s="472"/>
      <c r="P29" s="465"/>
      <c r="Q29" s="148" t="s">
        <v>71</v>
      </c>
      <c r="R29" s="152" t="s">
        <v>69</v>
      </c>
      <c r="S29" s="153"/>
      <c r="T29" s="150"/>
      <c r="U29" s="30"/>
      <c r="V29" s="151"/>
    </row>
    <row r="30" spans="1:24" s="95" customFormat="1" ht="15" thickBot="1" x14ac:dyDescent="0.25">
      <c r="A30" s="488"/>
      <c r="B30" s="465"/>
      <c r="C30" s="148" t="s">
        <v>70</v>
      </c>
      <c r="D30" s="152" t="s">
        <v>69</v>
      </c>
      <c r="E30" s="153"/>
      <c r="F30" s="150"/>
      <c r="G30" s="102"/>
      <c r="H30" s="512"/>
      <c r="I30" s="464"/>
      <c r="J30" s="288" t="s">
        <v>70</v>
      </c>
      <c r="K30" s="282" t="s">
        <v>69</v>
      </c>
      <c r="L30" s="283" t="s">
        <v>140</v>
      </c>
      <c r="M30" s="284"/>
      <c r="N30" s="285" t="s">
        <v>140</v>
      </c>
      <c r="O30" s="472"/>
      <c r="P30" s="465"/>
      <c r="Q30" s="148" t="s">
        <v>70</v>
      </c>
      <c r="R30" s="152" t="s">
        <v>69</v>
      </c>
      <c r="S30" s="153"/>
      <c r="T30" s="150"/>
      <c r="U30" s="30"/>
      <c r="V30" s="151"/>
    </row>
    <row r="31" spans="1:24" ht="15" hidden="1" customHeight="1" thickBot="1" x14ac:dyDescent="0.25">
      <c r="A31" s="488"/>
      <c r="B31" s="465"/>
      <c r="C31" s="111" t="s">
        <v>2</v>
      </c>
      <c r="D31" s="110"/>
      <c r="E31" s="109"/>
      <c r="F31" s="112">
        <f>SUM(F24:F30)</f>
        <v>0</v>
      </c>
      <c r="G31" s="360"/>
      <c r="H31" s="512"/>
      <c r="I31" s="464"/>
      <c r="J31" s="203" t="s">
        <v>2</v>
      </c>
      <c r="K31" s="110"/>
      <c r="L31" s="109"/>
      <c r="M31" s="112">
        <f>SUM(M24:M30)</f>
        <v>0</v>
      </c>
      <c r="N31" s="108"/>
      <c r="O31" s="472"/>
      <c r="P31" s="465"/>
      <c r="Q31" s="111" t="s">
        <v>2</v>
      </c>
      <c r="R31" s="110"/>
      <c r="S31" s="109"/>
      <c r="T31" s="112">
        <f>SUM(T24:T30)</f>
        <v>0</v>
      </c>
      <c r="U31" s="108"/>
      <c r="V31" s="147"/>
    </row>
    <row r="32" spans="1:24" ht="30" customHeight="1" thickBot="1" x14ac:dyDescent="0.25">
      <c r="A32" s="488"/>
      <c r="B32" s="464"/>
      <c r="C32" s="471" t="s">
        <v>68</v>
      </c>
      <c r="D32" s="471"/>
      <c r="E32" s="471"/>
      <c r="F32" s="471"/>
      <c r="G32" s="471"/>
      <c r="H32" s="512"/>
      <c r="I32" s="464"/>
      <c r="J32" s="466" t="s">
        <v>68</v>
      </c>
      <c r="K32" s="466"/>
      <c r="L32" s="466"/>
      <c r="M32" s="466"/>
      <c r="N32" s="467"/>
      <c r="O32" s="472"/>
      <c r="P32" s="464"/>
      <c r="Q32" s="471" t="s">
        <v>68</v>
      </c>
      <c r="R32" s="471"/>
      <c r="S32" s="471"/>
      <c r="T32" s="471"/>
      <c r="U32" s="472"/>
      <c r="V32" s="46"/>
    </row>
    <row r="33" spans="1:22" ht="15" thickBot="1" x14ac:dyDescent="0.25">
      <c r="A33" s="488"/>
      <c r="B33" s="464"/>
      <c r="C33" s="105"/>
      <c r="D33" s="104"/>
      <c r="E33" s="156"/>
      <c r="F33" s="107"/>
      <c r="G33" s="107"/>
      <c r="H33" s="512"/>
      <c r="I33" s="464"/>
      <c r="J33" s="259" t="s">
        <v>140</v>
      </c>
      <c r="K33" s="260" t="s">
        <v>140</v>
      </c>
      <c r="L33" s="286" t="s">
        <v>140</v>
      </c>
      <c r="M33" s="397"/>
      <c r="N33" s="240" t="s">
        <v>140</v>
      </c>
      <c r="O33" s="472"/>
      <c r="P33" s="464"/>
      <c r="Q33" s="105"/>
      <c r="R33" s="104"/>
      <c r="S33" s="156"/>
      <c r="T33" s="2"/>
      <c r="U33" s="59"/>
      <c r="V33" s="157"/>
    </row>
    <row r="34" spans="1:22" ht="15" hidden="1" customHeight="1" thickBot="1" x14ac:dyDescent="0.25">
      <c r="A34" s="488"/>
      <c r="B34" s="465"/>
      <c r="C34" s="81" t="s">
        <v>2</v>
      </c>
      <c r="D34" s="80"/>
      <c r="E34" s="79"/>
      <c r="F34" s="82">
        <f>SUM(F33:F33)</f>
        <v>0</v>
      </c>
      <c r="G34" s="366"/>
      <c r="H34" s="512"/>
      <c r="I34" s="464"/>
      <c r="J34" s="231" t="s">
        <v>2</v>
      </c>
      <c r="K34" s="80"/>
      <c r="L34" s="329"/>
      <c r="M34" s="82">
        <f>SUM(M33:M33)</f>
        <v>0</v>
      </c>
      <c r="N34" s="78"/>
      <c r="O34" s="472"/>
      <c r="P34" s="465"/>
      <c r="Q34" s="81" t="s">
        <v>2</v>
      </c>
      <c r="R34" s="80"/>
      <c r="S34" s="79"/>
      <c r="T34" s="82">
        <f>SUM(T33:T33)</f>
        <v>0</v>
      </c>
      <c r="U34" s="78"/>
      <c r="V34" s="147"/>
    </row>
    <row r="35" spans="1:22" ht="33.75" customHeight="1" thickBot="1" x14ac:dyDescent="0.25">
      <c r="A35" s="488"/>
      <c r="B35" s="465"/>
      <c r="C35" s="479" t="s">
        <v>53</v>
      </c>
      <c r="D35" s="480"/>
      <c r="E35" s="480"/>
      <c r="F35" s="480"/>
      <c r="G35" s="515"/>
      <c r="H35" s="512"/>
      <c r="I35" s="464"/>
      <c r="J35" s="482" t="s">
        <v>53</v>
      </c>
      <c r="K35" s="483"/>
      <c r="L35" s="483"/>
      <c r="M35" s="483"/>
      <c r="N35" s="485"/>
      <c r="O35" s="472"/>
      <c r="P35" s="465"/>
      <c r="Q35" s="479" t="s">
        <v>53</v>
      </c>
      <c r="R35" s="480"/>
      <c r="S35" s="480"/>
      <c r="T35" s="480"/>
      <c r="U35" s="481"/>
      <c r="V35" s="158"/>
    </row>
    <row r="36" spans="1:22" ht="15" thickBot="1" x14ac:dyDescent="0.25">
      <c r="A36" s="488"/>
      <c r="B36" s="464"/>
      <c r="C36" s="73"/>
      <c r="D36" s="56"/>
      <c r="E36" s="31"/>
      <c r="F36" s="32"/>
      <c r="G36" s="42"/>
      <c r="H36" s="512"/>
      <c r="I36" s="464"/>
      <c r="J36" s="213" t="s">
        <v>140</v>
      </c>
      <c r="K36" s="250" t="s">
        <v>140</v>
      </c>
      <c r="L36" s="336" t="s">
        <v>140</v>
      </c>
      <c r="M36" s="398"/>
      <c r="N36" s="281" t="s">
        <v>140</v>
      </c>
      <c r="O36" s="472"/>
      <c r="P36" s="464"/>
      <c r="Q36" s="73"/>
      <c r="R36" s="56"/>
      <c r="S36" s="31"/>
      <c r="T36" s="2"/>
      <c r="U36" s="71"/>
      <c r="V36" s="46"/>
    </row>
    <row r="37" spans="1:22" ht="15" hidden="1" customHeight="1" thickBot="1" x14ac:dyDescent="0.25">
      <c r="A37" s="488"/>
      <c r="B37" s="464"/>
      <c r="C37" s="70" t="s">
        <v>2</v>
      </c>
      <c r="D37" s="69"/>
      <c r="E37" s="69"/>
      <c r="F37" s="52">
        <f>SUM(F36:F36)</f>
        <v>0</v>
      </c>
      <c r="G37" s="367"/>
      <c r="H37" s="512"/>
      <c r="I37" s="464"/>
      <c r="J37" s="70" t="s">
        <v>2</v>
      </c>
      <c r="K37" s="69"/>
      <c r="L37" s="69"/>
      <c r="M37" s="52">
        <f>SUM(M36:M36)</f>
        <v>0</v>
      </c>
      <c r="N37" s="67"/>
      <c r="O37" s="472"/>
      <c r="P37" s="464"/>
      <c r="Q37" s="70" t="s">
        <v>2</v>
      </c>
      <c r="R37" s="69"/>
      <c r="S37" s="69"/>
      <c r="T37" s="52">
        <f>SUM(T36:T36)</f>
        <v>0</v>
      </c>
      <c r="U37" s="67"/>
      <c r="V37" s="158"/>
    </row>
    <row r="38" spans="1:22" ht="15" thickBot="1" x14ac:dyDescent="0.25">
      <c r="A38" s="488"/>
      <c r="B38" s="464"/>
      <c r="C38" s="474" t="s">
        <v>49</v>
      </c>
      <c r="D38" s="474"/>
      <c r="E38" s="474"/>
      <c r="F38" s="474"/>
      <c r="G38" s="474"/>
      <c r="H38" s="512"/>
      <c r="I38" s="464"/>
      <c r="J38" s="477" t="s">
        <v>49</v>
      </c>
      <c r="K38" s="477"/>
      <c r="L38" s="477"/>
      <c r="M38" s="477"/>
      <c r="N38" s="478"/>
      <c r="O38" s="472"/>
      <c r="P38" s="464"/>
      <c r="Q38" s="474" t="s">
        <v>49</v>
      </c>
      <c r="R38" s="474"/>
      <c r="S38" s="474"/>
      <c r="T38" s="474"/>
      <c r="U38" s="475"/>
      <c r="V38" s="158"/>
    </row>
    <row r="39" spans="1:22" x14ac:dyDescent="0.2">
      <c r="A39" s="488"/>
      <c r="B39" s="465"/>
      <c r="C39" s="64" t="s">
        <v>48</v>
      </c>
      <c r="D39" s="63" t="s">
        <v>44</v>
      </c>
      <c r="E39" s="66"/>
      <c r="F39" s="65"/>
      <c r="G39" s="107"/>
      <c r="H39" s="512"/>
      <c r="I39" s="464"/>
      <c r="J39" s="237" t="s">
        <v>48</v>
      </c>
      <c r="K39" s="238" t="s">
        <v>44</v>
      </c>
      <c r="L39" s="337" t="s">
        <v>140</v>
      </c>
      <c r="M39" s="338"/>
      <c r="N39" s="339" t="s">
        <v>140</v>
      </c>
      <c r="O39" s="472"/>
      <c r="P39" s="465"/>
      <c r="Q39" s="64" t="s">
        <v>48</v>
      </c>
      <c r="R39" s="63" t="s">
        <v>44</v>
      </c>
      <c r="S39" s="66"/>
      <c r="T39" s="54"/>
      <c r="U39" s="59"/>
      <c r="V39" s="157"/>
    </row>
    <row r="40" spans="1:22" ht="51" x14ac:dyDescent="0.2">
      <c r="A40" s="488"/>
      <c r="B40" s="465"/>
      <c r="C40" s="57" t="s">
        <v>47</v>
      </c>
      <c r="D40" s="56" t="s">
        <v>44</v>
      </c>
      <c r="E40" s="61"/>
      <c r="F40" s="60"/>
      <c r="G40" s="77"/>
      <c r="H40" s="512"/>
      <c r="I40" s="464"/>
      <c r="J40" s="73" t="s">
        <v>47</v>
      </c>
      <c r="K40" s="56" t="s">
        <v>44</v>
      </c>
      <c r="L40" s="294" t="s">
        <v>140</v>
      </c>
      <c r="M40" s="292"/>
      <c r="N40" s="295" t="s">
        <v>140</v>
      </c>
      <c r="O40" s="472"/>
      <c r="P40" s="465"/>
      <c r="Q40" s="57" t="s">
        <v>47</v>
      </c>
      <c r="R40" s="56" t="s">
        <v>44</v>
      </c>
      <c r="S40" s="61"/>
      <c r="T40" s="54"/>
      <c r="U40" s="53"/>
      <c r="V40" s="157"/>
    </row>
    <row r="41" spans="1:22" ht="25.5" x14ac:dyDescent="0.2">
      <c r="A41" s="488"/>
      <c r="B41" s="465"/>
      <c r="C41" s="57" t="s">
        <v>46</v>
      </c>
      <c r="D41" s="56" t="s">
        <v>44</v>
      </c>
      <c r="E41" s="61"/>
      <c r="F41" s="60"/>
      <c r="G41" s="77"/>
      <c r="H41" s="512"/>
      <c r="I41" s="464"/>
      <c r="J41" s="73" t="s">
        <v>46</v>
      </c>
      <c r="K41" s="56" t="s">
        <v>44</v>
      </c>
      <c r="L41" s="294" t="s">
        <v>140</v>
      </c>
      <c r="M41" s="292"/>
      <c r="N41" s="295" t="s">
        <v>140</v>
      </c>
      <c r="O41" s="472"/>
      <c r="P41" s="465"/>
      <c r="Q41" s="57" t="s">
        <v>46</v>
      </c>
      <c r="R41" s="56" t="s">
        <v>44</v>
      </c>
      <c r="S41" s="61"/>
      <c r="T41" s="54"/>
      <c r="U41" s="53"/>
      <c r="V41" s="157"/>
    </row>
    <row r="42" spans="1:22" ht="25.5" x14ac:dyDescent="0.2">
      <c r="A42" s="488"/>
      <c r="B42" s="465"/>
      <c r="C42" s="57" t="s">
        <v>45</v>
      </c>
      <c r="D42" s="56" t="s">
        <v>44</v>
      </c>
      <c r="E42" s="61"/>
      <c r="F42" s="60"/>
      <c r="G42" s="368"/>
      <c r="H42" s="512"/>
      <c r="I42" s="464"/>
      <c r="J42" s="73" t="s">
        <v>45</v>
      </c>
      <c r="K42" s="56" t="s">
        <v>44</v>
      </c>
      <c r="L42" s="294" t="s">
        <v>140</v>
      </c>
      <c r="M42" s="292"/>
      <c r="N42" s="295" t="s">
        <v>140</v>
      </c>
      <c r="O42" s="472"/>
      <c r="P42" s="465"/>
      <c r="Q42" s="57" t="s">
        <v>45</v>
      </c>
      <c r="R42" s="56" t="s">
        <v>44</v>
      </c>
      <c r="S42" s="61"/>
      <c r="T42" s="54"/>
      <c r="U42" s="62"/>
      <c r="V42" s="159"/>
    </row>
    <row r="43" spans="1:22" ht="25.5" x14ac:dyDescent="0.2">
      <c r="A43" s="488"/>
      <c r="B43" s="465"/>
      <c r="C43" s="57" t="s">
        <v>130</v>
      </c>
      <c r="D43" s="56" t="s">
        <v>44</v>
      </c>
      <c r="E43" s="61"/>
      <c r="F43" s="60"/>
      <c r="G43" s="77"/>
      <c r="H43" s="512"/>
      <c r="I43" s="464"/>
      <c r="J43" s="73" t="s">
        <v>130</v>
      </c>
      <c r="K43" s="56" t="s">
        <v>44</v>
      </c>
      <c r="L43" s="294" t="s">
        <v>140</v>
      </c>
      <c r="M43" s="292"/>
      <c r="N43" s="295" t="s">
        <v>140</v>
      </c>
      <c r="O43" s="472"/>
      <c r="P43" s="465"/>
      <c r="Q43" s="57" t="s">
        <v>130</v>
      </c>
      <c r="R43" s="56" t="s">
        <v>44</v>
      </c>
      <c r="S43" s="61"/>
      <c r="T43" s="54"/>
      <c r="U43" s="53"/>
      <c r="V43" s="157"/>
    </row>
    <row r="44" spans="1:22" x14ac:dyDescent="0.2">
      <c r="A44" s="488"/>
      <c r="B44" s="465"/>
      <c r="C44" s="57" t="s">
        <v>43</v>
      </c>
      <c r="D44" s="56" t="s">
        <v>42</v>
      </c>
      <c r="E44" s="61"/>
      <c r="F44" s="60"/>
      <c r="G44" s="77"/>
      <c r="H44" s="512"/>
      <c r="I44" s="464"/>
      <c r="J44" s="73" t="s">
        <v>43</v>
      </c>
      <c r="K44" s="56" t="s">
        <v>42</v>
      </c>
      <c r="L44" s="294" t="s">
        <v>140</v>
      </c>
      <c r="M44" s="292"/>
      <c r="N44" s="295" t="s">
        <v>140</v>
      </c>
      <c r="O44" s="472"/>
      <c r="P44" s="465"/>
      <c r="Q44" s="57" t="s">
        <v>43</v>
      </c>
      <c r="R44" s="56" t="s">
        <v>42</v>
      </c>
      <c r="S44" s="61"/>
      <c r="T44" s="54"/>
      <c r="U44" s="53"/>
      <c r="V44" s="157"/>
    </row>
    <row r="45" spans="1:22" ht="26.25" thickBot="1" x14ac:dyDescent="0.25">
      <c r="A45" s="488"/>
      <c r="B45" s="465"/>
      <c r="C45" s="57" t="s">
        <v>41</v>
      </c>
      <c r="D45" s="56" t="s">
        <v>40</v>
      </c>
      <c r="E45" s="61"/>
      <c r="F45" s="60"/>
      <c r="G45" s="77"/>
      <c r="H45" s="512"/>
      <c r="I45" s="464"/>
      <c r="J45" s="73" t="s">
        <v>41</v>
      </c>
      <c r="K45" s="56" t="s">
        <v>40</v>
      </c>
      <c r="L45" s="294" t="s">
        <v>140</v>
      </c>
      <c r="M45" s="292"/>
      <c r="N45" s="295" t="s">
        <v>140</v>
      </c>
      <c r="O45" s="472"/>
      <c r="P45" s="465"/>
      <c r="Q45" s="57" t="s">
        <v>41</v>
      </c>
      <c r="R45" s="56" t="s">
        <v>40</v>
      </c>
      <c r="S45" s="61"/>
      <c r="T45" s="54"/>
      <c r="U45" s="53"/>
      <c r="V45" s="157"/>
    </row>
    <row r="46" spans="1:22" ht="15" hidden="1" customHeight="1" thickBot="1" x14ac:dyDescent="0.25">
      <c r="A46" s="488"/>
      <c r="B46" s="465"/>
      <c r="C46" s="8" t="s">
        <v>2</v>
      </c>
      <c r="D46" s="7"/>
      <c r="E46" s="52"/>
      <c r="F46" s="6">
        <f>SUM(F39:F45)</f>
        <v>0</v>
      </c>
      <c r="G46" s="369"/>
      <c r="H46" s="512"/>
      <c r="I46" s="464"/>
      <c r="J46" s="206" t="s">
        <v>2</v>
      </c>
      <c r="K46" s="7"/>
      <c r="L46" s="52"/>
      <c r="M46" s="6">
        <f>SUM(M39:M45)</f>
        <v>0</v>
      </c>
      <c r="N46" s="5"/>
      <c r="O46" s="472"/>
      <c r="P46" s="465"/>
      <c r="Q46" s="8" t="s">
        <v>2</v>
      </c>
      <c r="R46" s="7"/>
      <c r="S46" s="52"/>
      <c r="T46" s="6">
        <f>SUM(T39:T45)</f>
        <v>0</v>
      </c>
      <c r="U46" s="5"/>
      <c r="V46" s="147"/>
    </row>
    <row r="47" spans="1:22" ht="27.75" customHeight="1" thickBot="1" x14ac:dyDescent="0.25">
      <c r="A47" s="488"/>
      <c r="B47" s="464"/>
      <c r="C47" s="466" t="s">
        <v>39</v>
      </c>
      <c r="D47" s="466"/>
      <c r="E47" s="466"/>
      <c r="F47" s="466"/>
      <c r="G47" s="466"/>
      <c r="H47" s="512"/>
      <c r="I47" s="464"/>
      <c r="J47" s="468" t="s">
        <v>39</v>
      </c>
      <c r="K47" s="468"/>
      <c r="L47" s="468"/>
      <c r="M47" s="468"/>
      <c r="N47" s="469"/>
      <c r="O47" s="472"/>
      <c r="P47" s="464"/>
      <c r="Q47" s="466" t="s">
        <v>39</v>
      </c>
      <c r="R47" s="466"/>
      <c r="S47" s="466"/>
      <c r="T47" s="466"/>
      <c r="U47" s="469"/>
      <c r="V47" s="46"/>
    </row>
    <row r="48" spans="1:22" ht="90" thickBot="1" x14ac:dyDescent="0.25">
      <c r="A48" s="488"/>
      <c r="B48" s="464"/>
      <c r="C48" s="47" t="s">
        <v>38</v>
      </c>
      <c r="D48" s="38" t="s">
        <v>37</v>
      </c>
      <c r="E48" s="38"/>
      <c r="F48" s="135"/>
      <c r="G48" s="323"/>
      <c r="H48" s="512"/>
      <c r="I48" s="464"/>
      <c r="J48" s="289" t="s">
        <v>38</v>
      </c>
      <c r="K48" s="334" t="s">
        <v>37</v>
      </c>
      <c r="L48" s="334" t="s">
        <v>140</v>
      </c>
      <c r="M48" s="287"/>
      <c r="N48" s="335" t="s">
        <v>140</v>
      </c>
      <c r="O48" s="472"/>
      <c r="P48" s="464"/>
      <c r="Q48" s="47" t="s">
        <v>38</v>
      </c>
      <c r="R48" s="50" t="s">
        <v>37</v>
      </c>
      <c r="S48" s="50"/>
      <c r="T48" s="3"/>
      <c r="U48" s="14"/>
      <c r="V48" s="46"/>
    </row>
    <row r="49" spans="1:23" ht="15" hidden="1" customHeight="1" x14ac:dyDescent="0.2">
      <c r="A49" s="488"/>
      <c r="B49" s="465"/>
      <c r="C49" s="43"/>
      <c r="D49" s="31"/>
      <c r="E49" s="31"/>
      <c r="F49" s="32"/>
      <c r="G49" s="42"/>
      <c r="H49" s="512"/>
      <c r="I49" s="464"/>
      <c r="J49" s="290"/>
      <c r="K49" s="128"/>
      <c r="L49" s="128"/>
      <c r="M49" s="272"/>
      <c r="N49" s="340"/>
      <c r="O49" s="472"/>
      <c r="P49" s="465"/>
      <c r="Q49" s="43"/>
      <c r="R49" s="31"/>
      <c r="S49" s="31"/>
      <c r="T49" s="160"/>
      <c r="U49" s="31"/>
      <c r="V49" s="46"/>
      <c r="W49" s="3"/>
    </row>
    <row r="50" spans="1:23" ht="15" hidden="1" customHeight="1" x14ac:dyDescent="0.2">
      <c r="A50" s="488"/>
      <c r="B50" s="465"/>
      <c r="C50" s="43"/>
      <c r="D50" s="31"/>
      <c r="E50" s="31"/>
      <c r="F50" s="32"/>
      <c r="G50" s="42"/>
      <c r="H50" s="512"/>
      <c r="I50" s="464"/>
      <c r="J50" s="207"/>
      <c r="K50" s="31"/>
      <c r="L50" s="31"/>
      <c r="M50" s="32"/>
      <c r="N50" s="71"/>
      <c r="O50" s="472"/>
      <c r="P50" s="465"/>
      <c r="Q50" s="43"/>
      <c r="R50" s="31"/>
      <c r="S50" s="31"/>
      <c r="T50" s="160"/>
      <c r="U50" s="31"/>
      <c r="V50" s="46"/>
      <c r="W50" s="3"/>
    </row>
    <row r="51" spans="1:23" ht="15" hidden="1" customHeight="1" x14ac:dyDescent="0.2">
      <c r="A51" s="488"/>
      <c r="B51" s="465"/>
      <c r="C51" s="43"/>
      <c r="D51" s="31"/>
      <c r="E51" s="31"/>
      <c r="F51" s="32"/>
      <c r="G51" s="42"/>
      <c r="H51" s="512"/>
      <c r="I51" s="464"/>
      <c r="J51" s="207"/>
      <c r="K51" s="31"/>
      <c r="L51" s="31"/>
      <c r="M51" s="32"/>
      <c r="N51" s="71"/>
      <c r="O51" s="472"/>
      <c r="P51" s="465"/>
      <c r="Q51" s="43"/>
      <c r="R51" s="31"/>
      <c r="S51" s="31"/>
      <c r="T51" s="160"/>
      <c r="U51" s="31"/>
      <c r="V51" s="46"/>
      <c r="W51" s="3"/>
    </row>
    <row r="52" spans="1:23" ht="15" hidden="1" customHeight="1" x14ac:dyDescent="0.2">
      <c r="A52" s="488"/>
      <c r="B52" s="465"/>
      <c r="C52" s="43"/>
      <c r="D52" s="31"/>
      <c r="E52" s="31"/>
      <c r="F52" s="32"/>
      <c r="G52" s="42"/>
      <c r="H52" s="512"/>
      <c r="I52" s="464"/>
      <c r="J52" s="207"/>
      <c r="K52" s="31"/>
      <c r="L52" s="31"/>
      <c r="M52" s="32"/>
      <c r="N52" s="71"/>
      <c r="O52" s="472"/>
      <c r="P52" s="465"/>
      <c r="Q52" s="43"/>
      <c r="R52" s="31"/>
      <c r="S52" s="31"/>
      <c r="T52" s="160"/>
      <c r="U52" s="31"/>
      <c r="V52" s="46"/>
      <c r="W52" s="3"/>
    </row>
    <row r="53" spans="1:23" ht="15" hidden="1" customHeight="1" x14ac:dyDescent="0.2">
      <c r="A53" s="488"/>
      <c r="B53" s="465"/>
      <c r="C53" s="43"/>
      <c r="D53" s="31"/>
      <c r="E53" s="31"/>
      <c r="F53" s="32"/>
      <c r="G53" s="42"/>
      <c r="H53" s="512"/>
      <c r="I53" s="464"/>
      <c r="J53" s="207"/>
      <c r="K53" s="31"/>
      <c r="L53" s="31"/>
      <c r="M53" s="32"/>
      <c r="N53" s="71"/>
      <c r="O53" s="472"/>
      <c r="P53" s="465"/>
      <c r="Q53" s="43"/>
      <c r="R53" s="31"/>
      <c r="S53" s="31"/>
      <c r="T53" s="160"/>
      <c r="U53" s="31"/>
      <c r="V53" s="46"/>
      <c r="W53" s="3"/>
    </row>
    <row r="54" spans="1:23" ht="15" hidden="1" customHeight="1" x14ac:dyDescent="0.2">
      <c r="A54" s="488"/>
      <c r="B54" s="465"/>
      <c r="C54" s="43"/>
      <c r="D54" s="31"/>
      <c r="E54" s="31"/>
      <c r="F54" s="32"/>
      <c r="G54" s="42"/>
      <c r="H54" s="512"/>
      <c r="I54" s="464"/>
      <c r="J54" s="207"/>
      <c r="K54" s="31"/>
      <c r="L54" s="31"/>
      <c r="M54" s="32"/>
      <c r="N54" s="71"/>
      <c r="O54" s="472"/>
      <c r="P54" s="465"/>
      <c r="Q54" s="43"/>
      <c r="R54" s="31"/>
      <c r="S54" s="31"/>
      <c r="T54" s="160"/>
      <c r="U54" s="31"/>
      <c r="V54" s="46"/>
      <c r="W54" s="3"/>
    </row>
    <row r="55" spans="1:23" ht="15" hidden="1" customHeight="1" x14ac:dyDescent="0.2">
      <c r="A55" s="488"/>
      <c r="B55" s="465"/>
      <c r="C55" s="43"/>
      <c r="D55" s="31"/>
      <c r="E55" s="31"/>
      <c r="F55" s="32"/>
      <c r="G55" s="42"/>
      <c r="H55" s="512"/>
      <c r="I55" s="464"/>
      <c r="J55" s="207"/>
      <c r="K55" s="31"/>
      <c r="L55" s="31"/>
      <c r="M55" s="32"/>
      <c r="N55" s="71"/>
      <c r="O55" s="472"/>
      <c r="P55" s="465"/>
      <c r="Q55" s="43"/>
      <c r="R55" s="31"/>
      <c r="S55" s="31"/>
      <c r="T55" s="160"/>
      <c r="U55" s="31"/>
      <c r="V55" s="46"/>
      <c r="W55" s="3"/>
    </row>
    <row r="56" spans="1:23" ht="15" hidden="1" customHeight="1" x14ac:dyDescent="0.2">
      <c r="A56" s="488"/>
      <c r="B56" s="465"/>
      <c r="C56" s="43"/>
      <c r="D56" s="31"/>
      <c r="E56" s="31"/>
      <c r="F56" s="32"/>
      <c r="G56" s="42"/>
      <c r="H56" s="512"/>
      <c r="I56" s="464"/>
      <c r="J56" s="207"/>
      <c r="K56" s="31"/>
      <c r="L56" s="31"/>
      <c r="M56" s="32"/>
      <c r="N56" s="71"/>
      <c r="O56" s="472"/>
      <c r="P56" s="465"/>
      <c r="Q56" s="43"/>
      <c r="R56" s="31"/>
      <c r="S56" s="31"/>
      <c r="T56" s="160"/>
      <c r="U56" s="31"/>
      <c r="V56" s="46"/>
      <c r="W56" s="3"/>
    </row>
    <row r="57" spans="1:23" ht="15" hidden="1" customHeight="1" x14ac:dyDescent="0.2">
      <c r="A57" s="488"/>
      <c r="B57" s="465"/>
      <c r="C57" s="43"/>
      <c r="D57" s="31"/>
      <c r="E57" s="31"/>
      <c r="F57" s="32"/>
      <c r="G57" s="42"/>
      <c r="H57" s="512"/>
      <c r="I57" s="464"/>
      <c r="J57" s="207"/>
      <c r="K57" s="31"/>
      <c r="L57" s="31"/>
      <c r="M57" s="32"/>
      <c r="N57" s="71"/>
      <c r="O57" s="472"/>
      <c r="P57" s="465"/>
      <c r="Q57" s="43"/>
      <c r="R57" s="31"/>
      <c r="S57" s="31"/>
      <c r="T57" s="160"/>
      <c r="U57" s="31"/>
      <c r="V57" s="46"/>
      <c r="W57" s="3"/>
    </row>
    <row r="58" spans="1:23" ht="15" hidden="1" customHeight="1" x14ac:dyDescent="0.2">
      <c r="A58" s="488"/>
      <c r="B58" s="465"/>
      <c r="C58" s="43"/>
      <c r="D58" s="31"/>
      <c r="E58" s="31"/>
      <c r="F58" s="32"/>
      <c r="G58" s="42"/>
      <c r="H58" s="512"/>
      <c r="I58" s="464"/>
      <c r="J58" s="207"/>
      <c r="K58" s="31"/>
      <c r="L58" s="31"/>
      <c r="M58" s="32"/>
      <c r="N58" s="71"/>
      <c r="O58" s="472"/>
      <c r="P58" s="465"/>
      <c r="Q58" s="43"/>
      <c r="R58" s="31"/>
      <c r="S58" s="31"/>
      <c r="T58" s="160"/>
      <c r="U58" s="31"/>
      <c r="V58" s="46"/>
      <c r="W58" s="3"/>
    </row>
    <row r="59" spans="1:23" ht="15" hidden="1" customHeight="1" x14ac:dyDescent="0.2">
      <c r="A59" s="488"/>
      <c r="B59" s="465"/>
      <c r="C59" s="43"/>
      <c r="D59" s="31"/>
      <c r="E59" s="31"/>
      <c r="F59" s="32"/>
      <c r="G59" s="42"/>
      <c r="H59" s="512"/>
      <c r="I59" s="464"/>
      <c r="J59" s="207"/>
      <c r="K59" s="31"/>
      <c r="L59" s="31"/>
      <c r="M59" s="32"/>
      <c r="N59" s="71"/>
      <c r="O59" s="472"/>
      <c r="P59" s="465"/>
      <c r="Q59" s="43"/>
      <c r="R59" s="31"/>
      <c r="S59" s="31"/>
      <c r="T59" s="160"/>
      <c r="U59" s="31"/>
      <c r="V59" s="46"/>
      <c r="W59" s="3"/>
    </row>
    <row r="60" spans="1:23" ht="15" hidden="1" customHeight="1" x14ac:dyDescent="0.2">
      <c r="A60" s="488"/>
      <c r="B60" s="465"/>
      <c r="C60" s="43"/>
      <c r="D60" s="31"/>
      <c r="E60" s="31"/>
      <c r="F60" s="32"/>
      <c r="G60" s="42"/>
      <c r="H60" s="512"/>
      <c r="I60" s="464"/>
      <c r="J60" s="207"/>
      <c r="K60" s="31"/>
      <c r="L60" s="31"/>
      <c r="M60" s="32"/>
      <c r="N60" s="71"/>
      <c r="O60" s="472"/>
      <c r="P60" s="465"/>
      <c r="Q60" s="43"/>
      <c r="R60" s="31"/>
      <c r="S60" s="31"/>
      <c r="T60" s="160"/>
      <c r="U60" s="31"/>
      <c r="V60" s="46"/>
      <c r="W60" s="3"/>
    </row>
    <row r="61" spans="1:23" ht="15" hidden="1" customHeight="1" x14ac:dyDescent="0.2">
      <c r="A61" s="488"/>
      <c r="B61" s="465"/>
      <c r="C61" s="43"/>
      <c r="D61" s="31"/>
      <c r="E61" s="31"/>
      <c r="F61" s="32"/>
      <c r="G61" s="42"/>
      <c r="H61" s="512"/>
      <c r="I61" s="464"/>
      <c r="J61" s="207"/>
      <c r="K61" s="31"/>
      <c r="L61" s="31"/>
      <c r="M61" s="32"/>
      <c r="N61" s="71"/>
      <c r="O61" s="472"/>
      <c r="P61" s="465"/>
      <c r="Q61" s="43"/>
      <c r="R61" s="31"/>
      <c r="S61" s="31"/>
      <c r="T61" s="160"/>
      <c r="U61" s="31"/>
      <c r="V61" s="46"/>
      <c r="W61" s="3"/>
    </row>
    <row r="62" spans="1:23" ht="15" hidden="1" customHeight="1" x14ac:dyDescent="0.2">
      <c r="A62" s="488"/>
      <c r="B62" s="465"/>
      <c r="C62" s="43"/>
      <c r="D62" s="31"/>
      <c r="E62" s="31"/>
      <c r="F62" s="32"/>
      <c r="G62" s="42"/>
      <c r="H62" s="512"/>
      <c r="I62" s="464"/>
      <c r="J62" s="207"/>
      <c r="K62" s="31"/>
      <c r="L62" s="31"/>
      <c r="M62" s="32"/>
      <c r="N62" s="71"/>
      <c r="O62" s="472"/>
      <c r="P62" s="465"/>
      <c r="Q62" s="43"/>
      <c r="R62" s="31"/>
      <c r="S62" s="31"/>
      <c r="T62" s="160"/>
      <c r="U62" s="31"/>
      <c r="V62" s="46"/>
      <c r="W62" s="3"/>
    </row>
    <row r="63" spans="1:23" ht="15" hidden="1" customHeight="1" x14ac:dyDescent="0.2">
      <c r="A63" s="488"/>
      <c r="B63" s="465"/>
      <c r="C63" s="43"/>
      <c r="D63" s="31"/>
      <c r="E63" s="31"/>
      <c r="F63" s="32"/>
      <c r="G63" s="42"/>
      <c r="H63" s="512"/>
      <c r="I63" s="464"/>
      <c r="J63" s="207"/>
      <c r="K63" s="31"/>
      <c r="L63" s="31"/>
      <c r="M63" s="32"/>
      <c r="N63" s="71"/>
      <c r="O63" s="472"/>
      <c r="P63" s="465"/>
      <c r="Q63" s="43"/>
      <c r="R63" s="31"/>
      <c r="S63" s="31"/>
      <c r="T63" s="160"/>
      <c r="U63" s="31"/>
      <c r="V63" s="46"/>
      <c r="W63" s="3"/>
    </row>
    <row r="64" spans="1:23" ht="15" hidden="1" customHeight="1" x14ac:dyDescent="0.2">
      <c r="A64" s="488"/>
      <c r="B64" s="465"/>
      <c r="C64" s="43"/>
      <c r="D64" s="31"/>
      <c r="E64" s="31"/>
      <c r="F64" s="32"/>
      <c r="G64" s="42"/>
      <c r="H64" s="512"/>
      <c r="I64" s="464"/>
      <c r="J64" s="207"/>
      <c r="K64" s="31"/>
      <c r="L64" s="31"/>
      <c r="M64" s="32"/>
      <c r="N64" s="71"/>
      <c r="O64" s="472"/>
      <c r="P64" s="465"/>
      <c r="Q64" s="43"/>
      <c r="R64" s="31"/>
      <c r="S64" s="31"/>
      <c r="T64" s="160"/>
      <c r="U64" s="31"/>
      <c r="V64" s="46"/>
      <c r="W64" s="3"/>
    </row>
    <row r="65" spans="1:24" ht="15" hidden="1" customHeight="1" x14ac:dyDescent="0.2">
      <c r="A65" s="488"/>
      <c r="B65" s="465"/>
      <c r="C65" s="43"/>
      <c r="D65" s="31"/>
      <c r="E65" s="31"/>
      <c r="F65" s="32"/>
      <c r="G65" s="42"/>
      <c r="H65" s="512"/>
      <c r="I65" s="464"/>
      <c r="J65" s="207"/>
      <c r="K65" s="31"/>
      <c r="L65" s="31"/>
      <c r="M65" s="32"/>
      <c r="N65" s="71"/>
      <c r="O65" s="472"/>
      <c r="P65" s="465"/>
      <c r="Q65" s="43"/>
      <c r="R65" s="31"/>
      <c r="S65" s="31"/>
      <c r="T65" s="160"/>
      <c r="U65" s="31"/>
      <c r="V65" s="46"/>
      <c r="W65" s="3"/>
    </row>
    <row r="66" spans="1:24" ht="15" hidden="1" customHeight="1" x14ac:dyDescent="0.2">
      <c r="A66" s="488"/>
      <c r="B66" s="465"/>
      <c r="C66" s="43"/>
      <c r="D66" s="31"/>
      <c r="E66" s="31"/>
      <c r="F66" s="32"/>
      <c r="G66" s="42"/>
      <c r="H66" s="512"/>
      <c r="I66" s="464"/>
      <c r="J66" s="207"/>
      <c r="K66" s="31"/>
      <c r="L66" s="31"/>
      <c r="M66" s="32"/>
      <c r="N66" s="71"/>
      <c r="O66" s="472"/>
      <c r="P66" s="465"/>
      <c r="Q66" s="43"/>
      <c r="R66" s="31"/>
      <c r="S66" s="31"/>
      <c r="T66" s="160"/>
      <c r="U66" s="31"/>
      <c r="V66" s="46"/>
      <c r="W66" s="3"/>
    </row>
    <row r="67" spans="1:24" ht="15" hidden="1" customHeight="1" x14ac:dyDescent="0.2">
      <c r="A67" s="488"/>
      <c r="B67" s="465"/>
      <c r="C67" s="43"/>
      <c r="D67" s="31"/>
      <c r="E67" s="31"/>
      <c r="F67" s="32"/>
      <c r="G67" s="42"/>
      <c r="H67" s="512"/>
      <c r="I67" s="464"/>
      <c r="J67" s="207"/>
      <c r="K67" s="31"/>
      <c r="L67" s="31"/>
      <c r="M67" s="32"/>
      <c r="N67" s="71"/>
      <c r="O67" s="472"/>
      <c r="P67" s="465"/>
      <c r="Q67" s="43"/>
      <c r="R67" s="31"/>
      <c r="S67" s="31"/>
      <c r="T67" s="160"/>
      <c r="U67" s="31"/>
      <c r="V67" s="46"/>
      <c r="W67" s="3"/>
    </row>
    <row r="68" spans="1:24" ht="15" hidden="1" customHeight="1" x14ac:dyDescent="0.2">
      <c r="A68" s="488"/>
      <c r="B68" s="465"/>
      <c r="C68" s="43"/>
      <c r="D68" s="31"/>
      <c r="E68" s="31"/>
      <c r="F68" s="32"/>
      <c r="G68" s="42"/>
      <c r="H68" s="512"/>
      <c r="I68" s="464"/>
      <c r="J68" s="207"/>
      <c r="K68" s="31"/>
      <c r="L68" s="31"/>
      <c r="M68" s="32"/>
      <c r="N68" s="71"/>
      <c r="O68" s="472"/>
      <c r="P68" s="465"/>
      <c r="Q68" s="43"/>
      <c r="R68" s="31"/>
      <c r="S68" s="31"/>
      <c r="T68" s="160"/>
      <c r="U68" s="31"/>
      <c r="V68" s="46"/>
      <c r="W68" s="3"/>
    </row>
    <row r="69" spans="1:24" ht="15" hidden="1" customHeight="1" x14ac:dyDescent="0.2">
      <c r="A69" s="488"/>
      <c r="B69" s="465"/>
      <c r="C69" s="43"/>
      <c r="D69" s="31"/>
      <c r="E69" s="31"/>
      <c r="F69" s="32"/>
      <c r="G69" s="42"/>
      <c r="H69" s="512"/>
      <c r="I69" s="464"/>
      <c r="J69" s="207"/>
      <c r="K69" s="31"/>
      <c r="L69" s="31"/>
      <c r="M69" s="32"/>
      <c r="N69" s="71"/>
      <c r="O69" s="472"/>
      <c r="P69" s="465"/>
      <c r="Q69" s="43"/>
      <c r="R69" s="31"/>
      <c r="S69" s="31"/>
      <c r="T69" s="160"/>
      <c r="U69" s="31"/>
      <c r="V69" s="46"/>
      <c r="W69" s="3"/>
    </row>
    <row r="70" spans="1:24" ht="15" hidden="1" customHeight="1" thickBot="1" x14ac:dyDescent="0.25">
      <c r="A70" s="488"/>
      <c r="B70" s="464"/>
      <c r="C70" s="38"/>
      <c r="D70" s="38"/>
      <c r="E70" s="50"/>
      <c r="F70" s="39"/>
      <c r="G70" s="328"/>
      <c r="H70" s="512"/>
      <c r="I70" s="464"/>
      <c r="J70" s="124"/>
      <c r="K70" s="31"/>
      <c r="L70" s="32"/>
      <c r="M70" s="32"/>
      <c r="N70" s="71"/>
      <c r="O70" s="472"/>
      <c r="P70" s="464"/>
      <c r="Q70" s="38"/>
      <c r="R70" s="38"/>
      <c r="S70" s="39"/>
      <c r="T70" s="161"/>
      <c r="U70" s="128"/>
      <c r="V70" s="46"/>
    </row>
    <row r="71" spans="1:24" ht="15" customHeight="1" x14ac:dyDescent="0.2">
      <c r="A71" s="488"/>
      <c r="B71" s="464"/>
      <c r="C71" s="468" t="s">
        <v>36</v>
      </c>
      <c r="D71" s="468"/>
      <c r="E71" s="468"/>
      <c r="F71" s="468"/>
      <c r="G71" s="468"/>
      <c r="H71" s="512"/>
      <c r="I71" s="464"/>
      <c r="J71" s="471" t="s">
        <v>36</v>
      </c>
      <c r="K71" s="471"/>
      <c r="L71" s="471"/>
      <c r="M71" s="471"/>
      <c r="N71" s="472"/>
      <c r="O71" s="472"/>
      <c r="P71" s="464"/>
      <c r="Q71" s="468" t="s">
        <v>36</v>
      </c>
      <c r="R71" s="468"/>
      <c r="S71" s="468"/>
      <c r="T71" s="468"/>
      <c r="U71" s="472"/>
      <c r="V71" s="46"/>
    </row>
    <row r="72" spans="1:24" ht="54.75" thickBot="1" x14ac:dyDescent="0.25">
      <c r="A72" s="17"/>
      <c r="B72" s="16"/>
      <c r="C72" s="15" t="s">
        <v>7</v>
      </c>
      <c r="D72" s="31" t="s">
        <v>3</v>
      </c>
      <c r="E72" s="162">
        <f>$V$72*F72</f>
        <v>0.47373841400617922</v>
      </c>
      <c r="F72" s="32">
        <v>326.87950566426366</v>
      </c>
      <c r="G72" s="11"/>
      <c r="H72" s="10"/>
      <c r="I72" s="326"/>
      <c r="J72" s="359" t="s">
        <v>7</v>
      </c>
      <c r="K72" s="224" t="s">
        <v>3</v>
      </c>
      <c r="L72" s="242">
        <f>$V$72*M72</f>
        <v>0.45005149330587024</v>
      </c>
      <c r="M72" s="306">
        <v>310.53553038105048</v>
      </c>
      <c r="N72" s="227" t="s">
        <v>150</v>
      </c>
      <c r="O72" s="327"/>
      <c r="P72" s="16"/>
      <c r="Q72" s="163" t="s">
        <v>7</v>
      </c>
      <c r="R72" s="31" t="s">
        <v>3</v>
      </c>
      <c r="S72" s="162">
        <f>$V$72*T72</f>
        <v>7.6210092687950565E-2</v>
      </c>
      <c r="T72" s="12">
        <v>52.58496395468589</v>
      </c>
      <c r="U72" s="11"/>
      <c r="V72" s="143">
        <f t="shared" ref="V72" si="2">X72/W72</f>
        <v>1.4492753623188406E-3</v>
      </c>
      <c r="W72" s="2">
        <f t="shared" ref="W72" si="3">T72+M72+F72</f>
        <v>690</v>
      </c>
      <c r="X72" s="1">
        <v>1</v>
      </c>
    </row>
    <row r="73" spans="1:24" ht="15" hidden="1" thickBot="1" x14ac:dyDescent="0.25">
      <c r="A73" s="10"/>
      <c r="B73" s="9"/>
      <c r="C73" s="8" t="s">
        <v>2</v>
      </c>
      <c r="D73" s="7"/>
      <c r="E73" s="6"/>
      <c r="F73" s="6">
        <f>SUM(F72:F72)</f>
        <v>326.87950566426366</v>
      </c>
      <c r="G73" s="5"/>
      <c r="H73" s="10"/>
      <c r="I73" s="9"/>
      <c r="J73" s="300" t="s">
        <v>2</v>
      </c>
      <c r="K73" s="301"/>
      <c r="L73" s="302"/>
      <c r="M73" s="302">
        <f>SUM(M72:M72)</f>
        <v>310.53553038105048</v>
      </c>
      <c r="N73" s="303"/>
      <c r="O73" s="10"/>
      <c r="P73" s="9"/>
      <c r="Q73" s="8" t="s">
        <v>2</v>
      </c>
      <c r="R73" s="7"/>
      <c r="S73" s="6"/>
      <c r="T73" s="6">
        <f>SUM(T72:T72)</f>
        <v>52.58496395468589</v>
      </c>
      <c r="U73" s="5"/>
      <c r="V73" s="147"/>
    </row>
    <row r="74" spans="1:24" ht="15.75" hidden="1" customHeight="1" thickBot="1" x14ac:dyDescent="0.25">
      <c r="A74" s="456" t="s">
        <v>1</v>
      </c>
      <c r="B74" s="457"/>
      <c r="C74" s="458"/>
      <c r="D74" s="458"/>
      <c r="E74" s="459"/>
      <c r="F74" s="452">
        <f>F15+F18+F31+F34+F46+F70+F73+F37</f>
        <v>6971415.7368547888</v>
      </c>
      <c r="G74" s="454"/>
      <c r="H74" s="456" t="s">
        <v>1</v>
      </c>
      <c r="I74" s="457"/>
      <c r="J74" s="458"/>
      <c r="K74" s="458"/>
      <c r="L74" s="459"/>
      <c r="M74" s="452">
        <f>M15+M18+M31+M34+M46+M70+M73+M37</f>
        <v>4379093.4176740842</v>
      </c>
      <c r="N74" s="454"/>
      <c r="O74" s="456" t="s">
        <v>1</v>
      </c>
      <c r="P74" s="457"/>
      <c r="Q74" s="458"/>
      <c r="R74" s="458"/>
      <c r="S74" s="459"/>
      <c r="T74" s="452">
        <f>T15+T18+T31+T34+T46+T70+T73+T37</f>
        <v>741539.84647112631</v>
      </c>
      <c r="U74" s="454"/>
      <c r="V74" s="164"/>
    </row>
    <row r="75" spans="1:24" ht="15" hidden="1" thickBot="1" x14ac:dyDescent="0.25">
      <c r="A75" s="461" t="s">
        <v>0</v>
      </c>
      <c r="B75" s="462"/>
      <c r="C75" s="462"/>
      <c r="D75" s="462"/>
      <c r="E75" s="460"/>
      <c r="F75" s="453"/>
      <c r="G75" s="455"/>
      <c r="H75" s="461" t="s">
        <v>0</v>
      </c>
      <c r="I75" s="462"/>
      <c r="J75" s="462"/>
      <c r="K75" s="462"/>
      <c r="L75" s="460"/>
      <c r="M75" s="453"/>
      <c r="N75" s="455"/>
      <c r="O75" s="461" t="s">
        <v>0</v>
      </c>
      <c r="P75" s="462"/>
      <c r="Q75" s="462"/>
      <c r="R75" s="462"/>
      <c r="S75" s="460"/>
      <c r="T75" s="453"/>
      <c r="U75" s="455"/>
      <c r="V75" s="164"/>
    </row>
    <row r="76" spans="1:24" x14ac:dyDescent="0.2">
      <c r="F76" s="1">
        <v>6971415.7368547888</v>
      </c>
      <c r="M76" s="1">
        <v>4379093.4176740842</v>
      </c>
      <c r="T76" s="1">
        <v>741539.84647112631</v>
      </c>
    </row>
    <row r="77" spans="1:24" x14ac:dyDescent="0.2">
      <c r="F77" s="2">
        <f>F74-F76</f>
        <v>0</v>
      </c>
      <c r="M77" s="2">
        <f>M74-M76</f>
        <v>0</v>
      </c>
      <c r="T77" s="2">
        <f>T74-T76</f>
        <v>0</v>
      </c>
    </row>
    <row r="78" spans="1:24" x14ac:dyDescent="0.2">
      <c r="M78" s="2"/>
      <c r="T78" s="2"/>
    </row>
    <row r="79" spans="1:24" x14ac:dyDescent="0.2">
      <c r="F79" s="3"/>
    </row>
    <row r="80" spans="1:24" x14ac:dyDescent="0.2">
      <c r="F80" s="2">
        <f>F79-F74</f>
        <v>-6971415.7368547888</v>
      </c>
      <c r="M80" s="2"/>
    </row>
  </sheetData>
  <mergeCells count="58">
    <mergeCell ref="K7:N7"/>
    <mergeCell ref="C16:G16"/>
    <mergeCell ref="J16:N16"/>
    <mergeCell ref="Q16:U16"/>
    <mergeCell ref="C19:G19"/>
    <mergeCell ref="J12:N12"/>
    <mergeCell ref="J19:N19"/>
    <mergeCell ref="J13:N13"/>
    <mergeCell ref="Q13:U13"/>
    <mergeCell ref="A12:A71"/>
    <mergeCell ref="B12:B21"/>
    <mergeCell ref="C12:G12"/>
    <mergeCell ref="H12:H71"/>
    <mergeCell ref="I12:I21"/>
    <mergeCell ref="C32:G32"/>
    <mergeCell ref="Q19:U19"/>
    <mergeCell ref="B22:B71"/>
    <mergeCell ref="C22:G22"/>
    <mergeCell ref="I22:I71"/>
    <mergeCell ref="J22:N22"/>
    <mergeCell ref="P22:P71"/>
    <mergeCell ref="Q22:U22"/>
    <mergeCell ref="C23:G23"/>
    <mergeCell ref="J23:N23"/>
    <mergeCell ref="Q23:U23"/>
    <mergeCell ref="O12:O71"/>
    <mergeCell ref="P12:P21"/>
    <mergeCell ref="Q12:U12"/>
    <mergeCell ref="C13:G13"/>
    <mergeCell ref="Q32:U32"/>
    <mergeCell ref="C35:G35"/>
    <mergeCell ref="J35:N35"/>
    <mergeCell ref="Q35:U35"/>
    <mergeCell ref="C38:G38"/>
    <mergeCell ref="J38:N38"/>
    <mergeCell ref="Q38:U38"/>
    <mergeCell ref="J32:N32"/>
    <mergeCell ref="J47:N47"/>
    <mergeCell ref="Q47:U47"/>
    <mergeCell ref="C71:G71"/>
    <mergeCell ref="J71:N71"/>
    <mergeCell ref="Q71:U71"/>
    <mergeCell ref="C47:G47"/>
    <mergeCell ref="U74:U75"/>
    <mergeCell ref="A75:D75"/>
    <mergeCell ref="H75:K75"/>
    <mergeCell ref="O75:R75"/>
    <mergeCell ref="L74:L75"/>
    <mergeCell ref="M74:M75"/>
    <mergeCell ref="N74:N75"/>
    <mergeCell ref="O74:R74"/>
    <mergeCell ref="S74:S75"/>
    <mergeCell ref="T74:T75"/>
    <mergeCell ref="A74:D74"/>
    <mergeCell ref="E74:E75"/>
    <mergeCell ref="F74:F75"/>
    <mergeCell ref="G74:G75"/>
    <mergeCell ref="H74:K74"/>
  </mergeCells>
  <pageMargins left="0.78740157480314965" right="0.31496062992125984" top="0.35433070866141736" bottom="0.35433070866141736" header="0.31496062992125984" footer="0.31496062992125984"/>
  <pageSetup paperSize="9" scale="75" orientation="portrait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view="pageBreakPreview" topLeftCell="O1" zoomScaleNormal="100" zoomScaleSheetLayoutView="100" workbookViewId="0">
      <pane ySplit="9" topLeftCell="A10" activePane="bottomLeft" state="frozen"/>
      <selection activeCell="B1" sqref="B1"/>
      <selection pane="bottomLeft" activeCell="R4" sqref="R4"/>
    </sheetView>
  </sheetViews>
  <sheetFormatPr defaultRowHeight="14.25" x14ac:dyDescent="0.2"/>
  <cols>
    <col min="1" max="1" width="20.5703125" style="1" hidden="1" customWidth="1"/>
    <col min="2" max="2" width="9.85546875" style="1" hidden="1" customWidth="1"/>
    <col min="3" max="3" width="26.140625" style="1" hidden="1" customWidth="1"/>
    <col min="4" max="4" width="21.85546875" style="1" hidden="1" customWidth="1"/>
    <col min="5" max="6" width="18.5703125" style="1" hidden="1" customWidth="1"/>
    <col min="7" max="7" width="21.5703125" style="1" hidden="1" customWidth="1"/>
    <col min="8" max="8" width="20.5703125" style="1" hidden="1" customWidth="1"/>
    <col min="9" max="9" width="9.85546875" style="1" hidden="1" customWidth="1"/>
    <col min="10" max="10" width="26.140625" style="1" hidden="1" customWidth="1"/>
    <col min="11" max="11" width="21.85546875" style="1" hidden="1" customWidth="1"/>
    <col min="12" max="13" width="18.5703125" style="1" hidden="1" customWidth="1"/>
    <col min="14" max="14" width="21.5703125" style="1" hidden="1" customWidth="1"/>
    <col min="15" max="15" width="17.7109375" style="1" customWidth="1"/>
    <col min="16" max="16" width="17.28515625" style="1" customWidth="1"/>
    <col min="17" max="17" width="29.140625" style="1" customWidth="1"/>
    <col min="18" max="19" width="21.5703125" style="1" customWidth="1"/>
    <col min="20" max="20" width="21.5703125" style="1" hidden="1" customWidth="1"/>
    <col min="21" max="22" width="15.7109375" style="1" customWidth="1"/>
    <col min="23" max="23" width="15.28515625" style="1" customWidth="1"/>
    <col min="24" max="16384" width="9.140625" style="1"/>
  </cols>
  <sheetData>
    <row r="1" spans="1:24" ht="45.75" hidden="1" thickBot="1" x14ac:dyDescent="0.3">
      <c r="G1" s="142" t="s">
        <v>117</v>
      </c>
      <c r="H1" s="142" t="s">
        <v>121</v>
      </c>
      <c r="I1" s="142" t="s">
        <v>119</v>
      </c>
      <c r="J1" s="142" t="s">
        <v>120</v>
      </c>
      <c r="K1" s="142" t="s">
        <v>119</v>
      </c>
      <c r="L1" s="142" t="s">
        <v>118</v>
      </c>
      <c r="N1" s="142" t="s">
        <v>117</v>
      </c>
      <c r="O1" s="141"/>
      <c r="P1" s="141"/>
      <c r="Q1" s="141"/>
      <c r="R1" s="141"/>
      <c r="S1" s="141"/>
      <c r="X1" s="140"/>
    </row>
    <row r="2" spans="1:24" ht="15.75" hidden="1" thickBot="1" x14ac:dyDescent="0.3">
      <c r="G2" s="142">
        <f>SUM(H2:L2)</f>
        <v>971</v>
      </c>
      <c r="H2" s="142">
        <v>458</v>
      </c>
      <c r="I2" s="142">
        <v>2</v>
      </c>
      <c r="J2" s="142">
        <v>435</v>
      </c>
      <c r="K2" s="142">
        <v>2</v>
      </c>
      <c r="L2" s="142">
        <v>74</v>
      </c>
      <c r="N2" s="142">
        <f>SUM(Z2:AD2)</f>
        <v>0</v>
      </c>
      <c r="O2" s="141"/>
      <c r="P2" s="141"/>
      <c r="Q2" s="141"/>
      <c r="R2" s="141"/>
      <c r="S2" s="141"/>
      <c r="X2" s="140"/>
    </row>
    <row r="3" spans="1:24" ht="15" x14ac:dyDescent="0.25">
      <c r="G3" s="141"/>
      <c r="H3" s="141"/>
      <c r="I3" s="141"/>
      <c r="J3" s="141"/>
      <c r="K3" s="141"/>
      <c r="L3" s="141"/>
      <c r="N3" s="141"/>
      <c r="O3" s="141"/>
      <c r="P3" s="141"/>
      <c r="Q3" s="141"/>
      <c r="R3" s="394" t="s">
        <v>177</v>
      </c>
      <c r="S3" s="394"/>
      <c r="T3" s="394"/>
      <c r="U3" s="394"/>
      <c r="V3" s="396"/>
      <c r="X3" s="140"/>
    </row>
    <row r="4" spans="1:24" ht="15" x14ac:dyDescent="0.25">
      <c r="G4" s="141"/>
      <c r="H4" s="141"/>
      <c r="I4" s="141"/>
      <c r="J4" s="141"/>
      <c r="K4" s="141"/>
      <c r="L4" s="141"/>
      <c r="N4" s="141"/>
      <c r="O4" s="141"/>
      <c r="P4" s="141"/>
      <c r="Q4" s="141"/>
      <c r="R4" s="395" t="s">
        <v>166</v>
      </c>
      <c r="S4" s="395"/>
      <c r="T4" s="395"/>
      <c r="U4" s="395"/>
      <c r="V4" s="396"/>
      <c r="X4" s="140"/>
    </row>
    <row r="5" spans="1:24" ht="15" x14ac:dyDescent="0.25">
      <c r="G5" s="141"/>
      <c r="H5" s="141"/>
      <c r="I5" s="141"/>
      <c r="J5" s="141"/>
      <c r="K5" s="141"/>
      <c r="L5" s="141"/>
      <c r="N5" s="141"/>
      <c r="O5" s="141"/>
      <c r="P5" s="141"/>
      <c r="Q5" s="141"/>
      <c r="R5" s="395" t="s">
        <v>167</v>
      </c>
      <c r="S5" s="395"/>
      <c r="T5" s="395"/>
      <c r="U5" s="395"/>
      <c r="V5" s="396"/>
      <c r="X5" s="140"/>
    </row>
    <row r="6" spans="1:24" ht="45" customHeight="1" x14ac:dyDescent="0.25">
      <c r="G6" s="141"/>
      <c r="H6" s="141"/>
      <c r="I6" s="141"/>
      <c r="J6" s="141"/>
      <c r="K6" s="141"/>
      <c r="L6" s="141"/>
      <c r="N6" s="141"/>
      <c r="O6" s="141"/>
      <c r="P6" s="141"/>
      <c r="Q6" s="141"/>
      <c r="R6" s="519" t="s">
        <v>168</v>
      </c>
      <c r="S6" s="519"/>
      <c r="T6" s="519"/>
      <c r="U6" s="519"/>
      <c r="V6" s="396"/>
      <c r="X6" s="140"/>
    </row>
    <row r="7" spans="1:24" ht="15" x14ac:dyDescent="0.25">
      <c r="G7" s="141"/>
      <c r="H7" s="141"/>
      <c r="I7" s="141"/>
      <c r="J7" s="141"/>
      <c r="K7" s="141"/>
      <c r="L7" s="141"/>
      <c r="N7" s="141"/>
      <c r="O7" s="141"/>
      <c r="P7" s="141"/>
      <c r="Q7" s="141"/>
      <c r="R7" s="141"/>
      <c r="S7" s="141"/>
      <c r="X7" s="140"/>
    </row>
    <row r="8" spans="1:24" ht="15.75" thickBot="1" x14ac:dyDescent="0.3">
      <c r="G8" s="141"/>
      <c r="H8" s="141"/>
      <c r="I8" s="141"/>
      <c r="J8" s="141"/>
      <c r="K8" s="141"/>
      <c r="L8" s="141"/>
      <c r="N8" s="141"/>
      <c r="O8" s="141"/>
      <c r="P8" s="141"/>
      <c r="Q8" s="141"/>
      <c r="R8" s="141"/>
      <c r="S8" s="141"/>
      <c r="X8" s="140"/>
    </row>
    <row r="9" spans="1:24" ht="57.75" thickBot="1" x14ac:dyDescent="0.25">
      <c r="A9" s="139" t="s">
        <v>116</v>
      </c>
      <c r="B9" s="138" t="s">
        <v>115</v>
      </c>
      <c r="C9" s="138" t="s">
        <v>114</v>
      </c>
      <c r="D9" s="138" t="s">
        <v>113</v>
      </c>
      <c r="E9" s="138" t="s">
        <v>112</v>
      </c>
      <c r="F9" s="138" t="s">
        <v>111</v>
      </c>
      <c r="G9" s="138" t="s">
        <v>110</v>
      </c>
      <c r="H9" s="139" t="s">
        <v>116</v>
      </c>
      <c r="I9" s="138" t="s">
        <v>115</v>
      </c>
      <c r="J9" s="138" t="s">
        <v>114</v>
      </c>
      <c r="K9" s="138" t="s">
        <v>113</v>
      </c>
      <c r="L9" s="138" t="s">
        <v>112</v>
      </c>
      <c r="M9" s="138" t="s">
        <v>111</v>
      </c>
      <c r="N9" s="138" t="s">
        <v>110</v>
      </c>
      <c r="O9" s="139" t="s">
        <v>116</v>
      </c>
      <c r="P9" s="138" t="s">
        <v>115</v>
      </c>
      <c r="Q9" s="138" t="s">
        <v>114</v>
      </c>
      <c r="R9" s="138" t="s">
        <v>113</v>
      </c>
      <c r="S9" s="138" t="s">
        <v>112</v>
      </c>
      <c r="T9" s="138" t="s">
        <v>111</v>
      </c>
      <c r="U9" s="138" t="s">
        <v>110</v>
      </c>
      <c r="V9" s="16"/>
    </row>
    <row r="10" spans="1:24" ht="15" thickBot="1" x14ac:dyDescent="0.25">
      <c r="A10" s="137">
        <v>1</v>
      </c>
      <c r="B10" s="136">
        <v>2</v>
      </c>
      <c r="C10" s="136">
        <v>3</v>
      </c>
      <c r="D10" s="136">
        <v>4</v>
      </c>
      <c r="E10" s="136">
        <v>5</v>
      </c>
      <c r="F10" s="136"/>
      <c r="G10" s="136">
        <v>6</v>
      </c>
      <c r="H10" s="137">
        <v>1</v>
      </c>
      <c r="I10" s="136">
        <v>2</v>
      </c>
      <c r="J10" s="136">
        <v>3</v>
      </c>
      <c r="K10" s="136">
        <v>4</v>
      </c>
      <c r="L10" s="136">
        <v>5</v>
      </c>
      <c r="M10" s="136"/>
      <c r="N10" s="136">
        <v>6</v>
      </c>
      <c r="O10" s="137">
        <v>1</v>
      </c>
      <c r="P10" s="136">
        <v>2</v>
      </c>
      <c r="Q10" s="136">
        <v>3</v>
      </c>
      <c r="R10" s="136">
        <v>4</v>
      </c>
      <c r="S10" s="136">
        <v>5</v>
      </c>
      <c r="T10" s="136"/>
      <c r="U10" s="136">
        <v>6</v>
      </c>
      <c r="V10" s="16"/>
    </row>
    <row r="11" spans="1:24" ht="15.75" customHeight="1" thickBot="1" x14ac:dyDescent="0.25">
      <c r="A11" s="487" t="s">
        <v>122</v>
      </c>
      <c r="B11" s="463" t="s">
        <v>123</v>
      </c>
      <c r="C11" s="466" t="s">
        <v>100</v>
      </c>
      <c r="D11" s="466"/>
      <c r="E11" s="466"/>
      <c r="F11" s="466"/>
      <c r="G11" s="467"/>
      <c r="H11" s="487" t="s">
        <v>122</v>
      </c>
      <c r="I11" s="463" t="s">
        <v>124</v>
      </c>
      <c r="J11" s="466" t="s">
        <v>100</v>
      </c>
      <c r="K11" s="466"/>
      <c r="L11" s="466"/>
      <c r="M11" s="466"/>
      <c r="N11" s="466"/>
      <c r="O11" s="511" t="s">
        <v>145</v>
      </c>
      <c r="P11" s="493" t="s">
        <v>160</v>
      </c>
      <c r="Q11" s="466" t="s">
        <v>100</v>
      </c>
      <c r="R11" s="466"/>
      <c r="S11" s="466"/>
      <c r="T11" s="466"/>
      <c r="U11" s="467"/>
      <c r="V11" s="46"/>
    </row>
    <row r="12" spans="1:24" ht="15.75" customHeight="1" thickBot="1" x14ac:dyDescent="0.25">
      <c r="A12" s="488"/>
      <c r="B12" s="464"/>
      <c r="C12" s="466" t="s">
        <v>99</v>
      </c>
      <c r="D12" s="466"/>
      <c r="E12" s="466"/>
      <c r="F12" s="466"/>
      <c r="G12" s="467"/>
      <c r="H12" s="488"/>
      <c r="I12" s="464"/>
      <c r="J12" s="466" t="s">
        <v>99</v>
      </c>
      <c r="K12" s="466"/>
      <c r="L12" s="466"/>
      <c r="M12" s="468"/>
      <c r="N12" s="466"/>
      <c r="O12" s="512"/>
      <c r="P12" s="494"/>
      <c r="Q12" s="468" t="s">
        <v>99</v>
      </c>
      <c r="R12" s="468"/>
      <c r="S12" s="468"/>
      <c r="T12" s="468"/>
      <c r="U12" s="469"/>
      <c r="V12" s="46"/>
    </row>
    <row r="13" spans="1:24" ht="29.25" hidden="1" thickBot="1" x14ac:dyDescent="0.25">
      <c r="A13" s="488"/>
      <c r="B13" s="464"/>
      <c r="C13" s="38" t="s">
        <v>98</v>
      </c>
      <c r="D13" s="38" t="s">
        <v>37</v>
      </c>
      <c r="E13" s="132">
        <f>$V$13*F13</f>
        <v>8.7641606591143155</v>
      </c>
      <c r="F13" s="135">
        <v>2491560.3913491247</v>
      </c>
      <c r="G13" s="38"/>
      <c r="H13" s="488"/>
      <c r="I13" s="464"/>
      <c r="J13" s="38" t="s">
        <v>98</v>
      </c>
      <c r="K13" s="38" t="s">
        <v>37</v>
      </c>
      <c r="L13" s="132">
        <f>$V$13*M13</f>
        <v>8.3259526261586014</v>
      </c>
      <c r="M13" s="20">
        <v>2366982.3717816686</v>
      </c>
      <c r="N13" s="328"/>
      <c r="O13" s="512"/>
      <c r="P13" s="494"/>
      <c r="Q13" s="124" t="s">
        <v>98</v>
      </c>
      <c r="R13" s="31" t="s">
        <v>37</v>
      </c>
      <c r="S13" s="41">
        <f>$V$13*T13</f>
        <v>1.4098867147270855</v>
      </c>
      <c r="T13" s="20">
        <v>400816.236869207</v>
      </c>
      <c r="U13" s="71"/>
      <c r="V13" s="143">
        <f>X13/W13</f>
        <v>3.5175389244202575E-6</v>
      </c>
      <c r="W13" s="2">
        <f>T13+M13+F13</f>
        <v>5259359</v>
      </c>
      <c r="X13" s="1">
        <v>18.5</v>
      </c>
    </row>
    <row r="14" spans="1:24" ht="43.5" thickBot="1" x14ac:dyDescent="0.25">
      <c r="A14" s="488"/>
      <c r="B14" s="464"/>
      <c r="C14" s="38" t="s">
        <v>127</v>
      </c>
      <c r="D14" s="38" t="s">
        <v>37</v>
      </c>
      <c r="E14" s="132">
        <f>$V$13*F14</f>
        <v>8.7641606591143155</v>
      </c>
      <c r="F14" s="134">
        <f>SUM(F13)</f>
        <v>2491560.3913491247</v>
      </c>
      <c r="G14" s="38"/>
      <c r="H14" s="488"/>
      <c r="I14" s="464"/>
      <c r="J14" s="38" t="s">
        <v>127</v>
      </c>
      <c r="K14" s="38" t="s">
        <v>37</v>
      </c>
      <c r="L14" s="132">
        <f>$V$13*M14</f>
        <v>8.3259526261586014</v>
      </c>
      <c r="M14" s="130">
        <f>M13</f>
        <v>2366982.3717816686</v>
      </c>
      <c r="N14" s="328"/>
      <c r="O14" s="512"/>
      <c r="P14" s="494"/>
      <c r="Q14" s="124" t="s">
        <v>127</v>
      </c>
      <c r="R14" s="31" t="s">
        <v>37</v>
      </c>
      <c r="S14" s="41">
        <f>$V$13*T14</f>
        <v>1.4098867147270855</v>
      </c>
      <c r="T14" s="130">
        <f>SUM(T13)</f>
        <v>400816.236869207</v>
      </c>
      <c r="U14" s="71" t="s">
        <v>164</v>
      </c>
      <c r="V14" s="143"/>
      <c r="W14" s="2"/>
    </row>
    <row r="15" spans="1:24" ht="30.75" customHeight="1" x14ac:dyDescent="0.2">
      <c r="A15" s="488"/>
      <c r="B15" s="464"/>
      <c r="C15" s="468" t="s">
        <v>96</v>
      </c>
      <c r="D15" s="468"/>
      <c r="E15" s="468"/>
      <c r="F15" s="468"/>
      <c r="G15" s="469"/>
      <c r="H15" s="488"/>
      <c r="I15" s="464"/>
      <c r="J15" s="468" t="s">
        <v>96</v>
      </c>
      <c r="K15" s="468"/>
      <c r="L15" s="468"/>
      <c r="M15" s="471"/>
      <c r="N15" s="468"/>
      <c r="O15" s="512"/>
      <c r="P15" s="494"/>
      <c r="Q15" s="471" t="s">
        <v>96</v>
      </c>
      <c r="R15" s="471"/>
      <c r="S15" s="471"/>
      <c r="T15" s="471"/>
      <c r="U15" s="472"/>
      <c r="V15" s="143"/>
      <c r="W15" s="2"/>
    </row>
    <row r="16" spans="1:24" ht="29.25" thickBot="1" x14ac:dyDescent="0.25">
      <c r="A16" s="488"/>
      <c r="B16" s="465"/>
      <c r="C16" s="31" t="s">
        <v>128</v>
      </c>
      <c r="D16" s="31" t="s">
        <v>129</v>
      </c>
      <c r="E16" s="144">
        <f>$V$16*F16</f>
        <v>106238.80110387009</v>
      </c>
      <c r="F16" s="32">
        <v>4479528.466</v>
      </c>
      <c r="G16" s="31"/>
      <c r="H16" s="488"/>
      <c r="I16" s="465"/>
      <c r="J16" s="31" t="s">
        <v>128</v>
      </c>
      <c r="K16" s="31" t="s">
        <v>129</v>
      </c>
      <c r="L16" s="145">
        <f>$V$16*M16</f>
        <v>47712.895654811669</v>
      </c>
      <c r="M16" s="12">
        <v>2011800.5103620349</v>
      </c>
      <c r="N16" s="42"/>
      <c r="O16" s="512"/>
      <c r="P16" s="494"/>
      <c r="Q16" s="229" t="s">
        <v>128</v>
      </c>
      <c r="R16" s="224" t="s">
        <v>129</v>
      </c>
      <c r="S16" s="305">
        <f>$V$16*T16</f>
        <v>8079.5292413182233</v>
      </c>
      <c r="T16" s="306">
        <v>340671.02463796473</v>
      </c>
      <c r="U16" s="227" t="s">
        <v>150</v>
      </c>
      <c r="V16" s="143">
        <f t="shared" ref="V16" si="0">X16/W16</f>
        <v>2.3716514340790907E-2</v>
      </c>
      <c r="W16" s="2">
        <f t="shared" ref="W16" si="1">T16+M16+F16</f>
        <v>6832000.0010000002</v>
      </c>
      <c r="X16" s="1">
        <v>162031.226</v>
      </c>
    </row>
    <row r="17" spans="1:22" ht="15" hidden="1" customHeight="1" thickBot="1" x14ac:dyDescent="0.25">
      <c r="A17" s="488"/>
      <c r="B17" s="464"/>
      <c r="C17" s="111" t="s">
        <v>2</v>
      </c>
      <c r="D17" s="110"/>
      <c r="E17" s="109"/>
      <c r="F17" s="112">
        <f>SUM(F16:F16)</f>
        <v>4479528.466</v>
      </c>
      <c r="G17" s="108"/>
      <c r="H17" s="488"/>
      <c r="I17" s="464"/>
      <c r="J17" s="111" t="s">
        <v>2</v>
      </c>
      <c r="K17" s="110"/>
      <c r="L17" s="109"/>
      <c r="M17" s="146">
        <f>SUM(M16:M16)</f>
        <v>2011800.5103620349</v>
      </c>
      <c r="N17" s="360"/>
      <c r="O17" s="512"/>
      <c r="P17" s="494"/>
      <c r="Q17" s="203" t="s">
        <v>2</v>
      </c>
      <c r="R17" s="110"/>
      <c r="S17" s="109"/>
      <c r="T17" s="112">
        <f>SUM(T16:T16)</f>
        <v>340671.02463796473</v>
      </c>
      <c r="U17" s="108"/>
      <c r="V17" s="147"/>
    </row>
    <row r="18" spans="1:22" ht="32.25" customHeight="1" thickBot="1" x14ac:dyDescent="0.25">
      <c r="A18" s="488"/>
      <c r="B18" s="464"/>
      <c r="C18" s="466" t="s">
        <v>81</v>
      </c>
      <c r="D18" s="466"/>
      <c r="E18" s="466"/>
      <c r="F18" s="466"/>
      <c r="G18" s="467"/>
      <c r="H18" s="488"/>
      <c r="I18" s="464"/>
      <c r="J18" s="466" t="s">
        <v>81</v>
      </c>
      <c r="K18" s="466"/>
      <c r="L18" s="466"/>
      <c r="M18" s="498"/>
      <c r="N18" s="466"/>
      <c r="O18" s="512"/>
      <c r="P18" s="494"/>
      <c r="Q18" s="466" t="s">
        <v>81</v>
      </c>
      <c r="R18" s="466"/>
      <c r="S18" s="466"/>
      <c r="T18" s="466"/>
      <c r="U18" s="467"/>
      <c r="V18" s="46"/>
    </row>
    <row r="19" spans="1:22" ht="15" thickBot="1" x14ac:dyDescent="0.25">
      <c r="A19" s="488"/>
      <c r="B19" s="464"/>
      <c r="C19" s="38"/>
      <c r="D19" s="38"/>
      <c r="E19" s="38"/>
      <c r="F19" s="38"/>
      <c r="G19" s="38"/>
      <c r="H19" s="488"/>
      <c r="I19" s="464"/>
      <c r="J19" s="38"/>
      <c r="K19" s="38"/>
      <c r="L19" s="38"/>
      <c r="M19" s="38"/>
      <c r="N19" s="328"/>
      <c r="O19" s="512"/>
      <c r="P19" s="494"/>
      <c r="Q19" s="38" t="s">
        <v>140</v>
      </c>
      <c r="R19" s="38" t="s">
        <v>140</v>
      </c>
      <c r="S19" s="38" t="s">
        <v>140</v>
      </c>
      <c r="T19" s="38"/>
      <c r="U19" s="38" t="s">
        <v>140</v>
      </c>
      <c r="V19" s="46"/>
    </row>
    <row r="20" spans="1:22" ht="15" hidden="1" customHeight="1" thickBot="1" x14ac:dyDescent="0.25">
      <c r="A20" s="488"/>
      <c r="B20" s="473"/>
      <c r="C20" s="38"/>
      <c r="D20" s="38"/>
      <c r="E20" s="38"/>
      <c r="F20" s="38"/>
      <c r="G20" s="38"/>
      <c r="H20" s="488"/>
      <c r="I20" s="473"/>
      <c r="J20" s="38"/>
      <c r="K20" s="38"/>
      <c r="L20" s="38"/>
      <c r="M20" s="38"/>
      <c r="N20" s="328"/>
      <c r="O20" s="512"/>
      <c r="P20" s="495"/>
      <c r="Q20" s="38"/>
      <c r="R20" s="38"/>
      <c r="S20" s="38"/>
      <c r="T20" s="38"/>
      <c r="U20" s="38"/>
      <c r="V20" s="46"/>
    </row>
    <row r="21" spans="1:22" ht="15.75" customHeight="1" thickBot="1" x14ac:dyDescent="0.25">
      <c r="A21" s="488"/>
      <c r="B21" s="463"/>
      <c r="C21" s="466" t="s">
        <v>80</v>
      </c>
      <c r="D21" s="466"/>
      <c r="E21" s="466"/>
      <c r="F21" s="466"/>
      <c r="G21" s="467"/>
      <c r="H21" s="488"/>
      <c r="I21" s="463"/>
      <c r="J21" s="466" t="s">
        <v>80</v>
      </c>
      <c r="K21" s="466"/>
      <c r="L21" s="466"/>
      <c r="M21" s="466"/>
      <c r="N21" s="466"/>
      <c r="O21" s="512"/>
      <c r="P21" s="463"/>
      <c r="Q21" s="466" t="s">
        <v>80</v>
      </c>
      <c r="R21" s="466"/>
      <c r="S21" s="466"/>
      <c r="T21" s="466"/>
      <c r="U21" s="467"/>
      <c r="V21" s="46"/>
    </row>
    <row r="22" spans="1:22" x14ac:dyDescent="0.2">
      <c r="A22" s="488"/>
      <c r="B22" s="464"/>
      <c r="C22" s="468" t="s">
        <v>79</v>
      </c>
      <c r="D22" s="468"/>
      <c r="E22" s="468"/>
      <c r="F22" s="468"/>
      <c r="G22" s="469"/>
      <c r="H22" s="488"/>
      <c r="I22" s="464"/>
      <c r="J22" s="468" t="s">
        <v>79</v>
      </c>
      <c r="K22" s="468"/>
      <c r="L22" s="468"/>
      <c r="M22" s="468"/>
      <c r="N22" s="468"/>
      <c r="O22" s="512"/>
      <c r="P22" s="464"/>
      <c r="Q22" s="468" t="s">
        <v>79</v>
      </c>
      <c r="R22" s="468"/>
      <c r="S22" s="468"/>
      <c r="T22" s="468"/>
      <c r="U22" s="469"/>
      <c r="V22" s="46"/>
    </row>
    <row r="23" spans="1:22" s="95" customFormat="1" x14ac:dyDescent="0.2">
      <c r="A23" s="488"/>
      <c r="B23" s="465"/>
      <c r="C23" s="148" t="s">
        <v>78</v>
      </c>
      <c r="D23" s="149" t="s">
        <v>77</v>
      </c>
      <c r="E23" s="30"/>
      <c r="F23" s="150">
        <v>0</v>
      </c>
      <c r="G23" s="30"/>
      <c r="H23" s="488"/>
      <c r="I23" s="465"/>
      <c r="J23" s="148" t="s">
        <v>78</v>
      </c>
      <c r="K23" s="149" t="s">
        <v>77</v>
      </c>
      <c r="L23" s="30"/>
      <c r="M23" s="150"/>
      <c r="N23" s="102"/>
      <c r="O23" s="512"/>
      <c r="P23" s="464"/>
      <c r="Q23" s="277" t="s">
        <v>78</v>
      </c>
      <c r="R23" s="149" t="s">
        <v>77</v>
      </c>
      <c r="S23" s="30" t="s">
        <v>140</v>
      </c>
      <c r="T23" s="150"/>
      <c r="U23" s="96" t="s">
        <v>140</v>
      </c>
      <c r="V23" s="151"/>
    </row>
    <row r="24" spans="1:22" s="95" customFormat="1" x14ac:dyDescent="0.2">
      <c r="A24" s="488"/>
      <c r="B24" s="465"/>
      <c r="C24" s="148" t="s">
        <v>76</v>
      </c>
      <c r="D24" s="152" t="s">
        <v>75</v>
      </c>
      <c r="E24" s="153"/>
      <c r="F24" s="150"/>
      <c r="G24" s="30"/>
      <c r="H24" s="488"/>
      <c r="I24" s="465"/>
      <c r="J24" s="148" t="s">
        <v>76</v>
      </c>
      <c r="K24" s="152" t="s">
        <v>75</v>
      </c>
      <c r="L24" s="153"/>
      <c r="M24" s="150"/>
      <c r="N24" s="102"/>
      <c r="O24" s="512"/>
      <c r="P24" s="464"/>
      <c r="Q24" s="277" t="s">
        <v>76</v>
      </c>
      <c r="R24" s="152" t="s">
        <v>75</v>
      </c>
      <c r="S24" s="153" t="s">
        <v>140</v>
      </c>
      <c r="T24" s="150"/>
      <c r="U24" s="96" t="s">
        <v>140</v>
      </c>
      <c r="V24" s="151"/>
    </row>
    <row r="25" spans="1:22" s="95" customFormat="1" x14ac:dyDescent="0.2">
      <c r="A25" s="488"/>
      <c r="B25" s="465"/>
      <c r="C25" s="148" t="s">
        <v>74</v>
      </c>
      <c r="D25" s="152" t="s">
        <v>69</v>
      </c>
      <c r="E25" s="153"/>
      <c r="F25" s="150"/>
      <c r="G25" s="30"/>
      <c r="H25" s="488"/>
      <c r="I25" s="465"/>
      <c r="J25" s="148" t="s">
        <v>74</v>
      </c>
      <c r="K25" s="152" t="s">
        <v>69</v>
      </c>
      <c r="L25" s="153"/>
      <c r="M25" s="150"/>
      <c r="N25" s="102"/>
      <c r="O25" s="512"/>
      <c r="P25" s="464"/>
      <c r="Q25" s="277" t="s">
        <v>74</v>
      </c>
      <c r="R25" s="152" t="s">
        <v>69</v>
      </c>
      <c r="S25" s="153" t="s">
        <v>140</v>
      </c>
      <c r="T25" s="150"/>
      <c r="U25" s="96" t="s">
        <v>140</v>
      </c>
      <c r="V25" s="151"/>
    </row>
    <row r="26" spans="1:22" s="95" customFormat="1" ht="25.5" x14ac:dyDescent="0.2">
      <c r="A26" s="488"/>
      <c r="B26" s="465"/>
      <c r="C26" s="154" t="s">
        <v>73</v>
      </c>
      <c r="D26" s="152" t="s">
        <v>69</v>
      </c>
      <c r="E26" s="153"/>
      <c r="F26" s="150"/>
      <c r="G26" s="30"/>
      <c r="H26" s="488"/>
      <c r="I26" s="465"/>
      <c r="J26" s="154" t="s">
        <v>73</v>
      </c>
      <c r="K26" s="152" t="s">
        <v>69</v>
      </c>
      <c r="L26" s="153"/>
      <c r="M26" s="150"/>
      <c r="N26" s="102"/>
      <c r="O26" s="512"/>
      <c r="P26" s="464"/>
      <c r="Q26" s="278" t="s">
        <v>73</v>
      </c>
      <c r="R26" s="152" t="s">
        <v>69</v>
      </c>
      <c r="S26" s="153" t="s">
        <v>140</v>
      </c>
      <c r="T26" s="150"/>
      <c r="U26" s="96" t="s">
        <v>140</v>
      </c>
      <c r="V26" s="151"/>
    </row>
    <row r="27" spans="1:22" s="95" customFormat="1" x14ac:dyDescent="0.2">
      <c r="A27" s="488"/>
      <c r="B27" s="465"/>
      <c r="C27" s="148" t="s">
        <v>72</v>
      </c>
      <c r="D27" s="152" t="s">
        <v>69</v>
      </c>
      <c r="E27" s="30"/>
      <c r="F27" s="155"/>
      <c r="G27" s="30"/>
      <c r="H27" s="488"/>
      <c r="I27" s="465"/>
      <c r="J27" s="148" t="s">
        <v>72</v>
      </c>
      <c r="K27" s="152" t="s">
        <v>69</v>
      </c>
      <c r="L27" s="30"/>
      <c r="M27" s="150"/>
      <c r="N27" s="102"/>
      <c r="O27" s="512"/>
      <c r="P27" s="464"/>
      <c r="Q27" s="277" t="s">
        <v>72</v>
      </c>
      <c r="R27" s="152" t="s">
        <v>69</v>
      </c>
      <c r="S27" s="30" t="s">
        <v>140</v>
      </c>
      <c r="T27" s="150"/>
      <c r="U27" s="96" t="s">
        <v>140</v>
      </c>
      <c r="V27" s="151"/>
    </row>
    <row r="28" spans="1:22" s="95" customFormat="1" ht="25.5" x14ac:dyDescent="0.2">
      <c r="A28" s="488"/>
      <c r="B28" s="465"/>
      <c r="C28" s="148" t="s">
        <v>71</v>
      </c>
      <c r="D28" s="152" t="s">
        <v>69</v>
      </c>
      <c r="E28" s="153"/>
      <c r="F28" s="150"/>
      <c r="G28" s="30"/>
      <c r="H28" s="488"/>
      <c r="I28" s="465"/>
      <c r="J28" s="148" t="s">
        <v>71</v>
      </c>
      <c r="K28" s="152" t="s">
        <v>69</v>
      </c>
      <c r="L28" s="153"/>
      <c r="M28" s="150"/>
      <c r="N28" s="102"/>
      <c r="O28" s="512"/>
      <c r="P28" s="464"/>
      <c r="Q28" s="277" t="s">
        <v>71</v>
      </c>
      <c r="R28" s="152" t="s">
        <v>69</v>
      </c>
      <c r="S28" s="153" t="s">
        <v>140</v>
      </c>
      <c r="T28" s="150"/>
      <c r="U28" s="96" t="s">
        <v>140</v>
      </c>
      <c r="V28" s="151"/>
    </row>
    <row r="29" spans="1:22" s="95" customFormat="1" x14ac:dyDescent="0.2">
      <c r="A29" s="488"/>
      <c r="B29" s="465"/>
      <c r="C29" s="148" t="s">
        <v>70</v>
      </c>
      <c r="D29" s="152" t="s">
        <v>69</v>
      </c>
      <c r="E29" s="153"/>
      <c r="F29" s="150"/>
      <c r="G29" s="30"/>
      <c r="H29" s="488"/>
      <c r="I29" s="465"/>
      <c r="J29" s="148" t="s">
        <v>70</v>
      </c>
      <c r="K29" s="152" t="s">
        <v>69</v>
      </c>
      <c r="L29" s="153"/>
      <c r="M29" s="150"/>
      <c r="N29" s="102"/>
      <c r="O29" s="512"/>
      <c r="P29" s="464"/>
      <c r="Q29" s="277" t="s">
        <v>70</v>
      </c>
      <c r="R29" s="152" t="s">
        <v>69</v>
      </c>
      <c r="S29" s="153" t="s">
        <v>140</v>
      </c>
      <c r="T29" s="150"/>
      <c r="U29" s="96" t="s">
        <v>140</v>
      </c>
      <c r="V29" s="151"/>
    </row>
    <row r="30" spans="1:22" ht="15" hidden="1" customHeight="1" thickBot="1" x14ac:dyDescent="0.25">
      <c r="A30" s="488"/>
      <c r="B30" s="465"/>
      <c r="C30" s="111" t="s">
        <v>2</v>
      </c>
      <c r="D30" s="110"/>
      <c r="E30" s="109"/>
      <c r="F30" s="112">
        <f>SUM(F23:F29)</f>
        <v>0</v>
      </c>
      <c r="G30" s="108"/>
      <c r="H30" s="488"/>
      <c r="I30" s="465"/>
      <c r="J30" s="111" t="s">
        <v>2</v>
      </c>
      <c r="K30" s="110"/>
      <c r="L30" s="109"/>
      <c r="M30" s="112">
        <f>SUM(M23:M29)</f>
        <v>0</v>
      </c>
      <c r="N30" s="360"/>
      <c r="O30" s="512"/>
      <c r="P30" s="464"/>
      <c r="Q30" s="203" t="s">
        <v>2</v>
      </c>
      <c r="R30" s="110"/>
      <c r="S30" s="109"/>
      <c r="T30" s="112">
        <f>SUM(T23:T29)</f>
        <v>0</v>
      </c>
      <c r="U30" s="108"/>
      <c r="V30" s="147"/>
    </row>
    <row r="31" spans="1:22" ht="32.25" customHeight="1" thickBot="1" x14ac:dyDescent="0.25">
      <c r="A31" s="488"/>
      <c r="B31" s="464"/>
      <c r="C31" s="471" t="s">
        <v>68</v>
      </c>
      <c r="D31" s="471"/>
      <c r="E31" s="471"/>
      <c r="F31" s="471"/>
      <c r="G31" s="472"/>
      <c r="H31" s="488"/>
      <c r="I31" s="464"/>
      <c r="J31" s="471" t="s">
        <v>68</v>
      </c>
      <c r="K31" s="471"/>
      <c r="L31" s="471"/>
      <c r="M31" s="471"/>
      <c r="N31" s="471"/>
      <c r="O31" s="512"/>
      <c r="P31" s="464"/>
      <c r="Q31" s="471" t="s">
        <v>68</v>
      </c>
      <c r="R31" s="471"/>
      <c r="S31" s="471"/>
      <c r="T31" s="471"/>
      <c r="U31" s="472"/>
      <c r="V31" s="46"/>
    </row>
    <row r="32" spans="1:22" ht="15" thickBot="1" x14ac:dyDescent="0.25">
      <c r="A32" s="488"/>
      <c r="B32" s="464"/>
      <c r="C32" s="105"/>
      <c r="D32" s="104"/>
      <c r="E32" s="156"/>
      <c r="F32" s="107"/>
      <c r="G32" s="59"/>
      <c r="H32" s="488"/>
      <c r="I32" s="464"/>
      <c r="J32" s="105"/>
      <c r="K32" s="104"/>
      <c r="L32" s="156"/>
      <c r="M32" s="2"/>
      <c r="N32" s="107"/>
      <c r="O32" s="512"/>
      <c r="P32" s="464"/>
      <c r="Q32" s="105" t="s">
        <v>140</v>
      </c>
      <c r="R32" s="104" t="s">
        <v>140</v>
      </c>
      <c r="S32" s="156" t="s">
        <v>140</v>
      </c>
      <c r="T32" s="397"/>
      <c r="U32" s="59" t="s">
        <v>140</v>
      </c>
      <c r="V32" s="157"/>
    </row>
    <row r="33" spans="1:23" ht="15" hidden="1" customHeight="1" thickBot="1" x14ac:dyDescent="0.25">
      <c r="A33" s="488"/>
      <c r="B33" s="465"/>
      <c r="C33" s="81" t="s">
        <v>2</v>
      </c>
      <c r="D33" s="80"/>
      <c r="E33" s="79"/>
      <c r="F33" s="82">
        <f>SUM(F32:F32)</f>
        <v>0</v>
      </c>
      <c r="G33" s="78"/>
      <c r="H33" s="488"/>
      <c r="I33" s="465"/>
      <c r="J33" s="81" t="s">
        <v>2</v>
      </c>
      <c r="K33" s="80"/>
      <c r="L33" s="79"/>
      <c r="M33" s="82">
        <f>SUM(M32:M32)</f>
        <v>0</v>
      </c>
      <c r="N33" s="366"/>
      <c r="O33" s="512"/>
      <c r="P33" s="464"/>
      <c r="Q33" s="231" t="s">
        <v>2</v>
      </c>
      <c r="R33" s="80"/>
      <c r="S33" s="329"/>
      <c r="T33" s="82">
        <f>SUM(T32:T32)</f>
        <v>0</v>
      </c>
      <c r="U33" s="78"/>
      <c r="V33" s="147"/>
    </row>
    <row r="34" spans="1:23" ht="30" customHeight="1" thickBot="1" x14ac:dyDescent="0.25">
      <c r="A34" s="488"/>
      <c r="B34" s="465"/>
      <c r="C34" s="479" t="s">
        <v>53</v>
      </c>
      <c r="D34" s="480"/>
      <c r="E34" s="480"/>
      <c r="F34" s="480"/>
      <c r="G34" s="481"/>
      <c r="H34" s="488"/>
      <c r="I34" s="465"/>
      <c r="J34" s="479" t="s">
        <v>53</v>
      </c>
      <c r="K34" s="480"/>
      <c r="L34" s="480"/>
      <c r="M34" s="480"/>
      <c r="N34" s="515"/>
      <c r="O34" s="512"/>
      <c r="P34" s="464"/>
      <c r="Q34" s="482" t="s">
        <v>53</v>
      </c>
      <c r="R34" s="483"/>
      <c r="S34" s="483"/>
      <c r="T34" s="483"/>
      <c r="U34" s="485"/>
      <c r="V34" s="158"/>
    </row>
    <row r="35" spans="1:23" x14ac:dyDescent="0.2">
      <c r="A35" s="488"/>
      <c r="B35" s="464"/>
      <c r="C35" s="73"/>
      <c r="D35" s="56"/>
      <c r="E35" s="31"/>
      <c r="F35" s="32"/>
      <c r="G35" s="71"/>
      <c r="H35" s="488"/>
      <c r="I35" s="464"/>
      <c r="J35" s="73"/>
      <c r="K35" s="56"/>
      <c r="L35" s="31"/>
      <c r="M35" s="2"/>
      <c r="N35" s="42"/>
      <c r="O35" s="512"/>
      <c r="P35" s="464"/>
      <c r="Q35" s="73" t="s">
        <v>140</v>
      </c>
      <c r="R35" s="56" t="s">
        <v>140</v>
      </c>
      <c r="S35" s="31" t="s">
        <v>140</v>
      </c>
      <c r="T35" s="397"/>
      <c r="U35" s="71" t="s">
        <v>140</v>
      </c>
      <c r="V35" s="46"/>
    </row>
    <row r="36" spans="1:23" ht="15" hidden="1" customHeight="1" thickBot="1" x14ac:dyDescent="0.25">
      <c r="A36" s="488"/>
      <c r="B36" s="464"/>
      <c r="C36" s="70" t="s">
        <v>2</v>
      </c>
      <c r="D36" s="69"/>
      <c r="E36" s="69"/>
      <c r="F36" s="52">
        <f>SUM(F35:F35)</f>
        <v>0</v>
      </c>
      <c r="G36" s="67"/>
      <c r="H36" s="488"/>
      <c r="I36" s="464"/>
      <c r="J36" s="70" t="s">
        <v>2</v>
      </c>
      <c r="K36" s="69"/>
      <c r="L36" s="69"/>
      <c r="M36" s="52">
        <f>SUM(M35:M35)</f>
        <v>0</v>
      </c>
      <c r="N36" s="367"/>
      <c r="O36" s="512"/>
      <c r="P36" s="464"/>
      <c r="Q36" s="70" t="s">
        <v>2</v>
      </c>
      <c r="R36" s="69"/>
      <c r="S36" s="69"/>
      <c r="T36" s="52">
        <f>SUM(T35:T35)</f>
        <v>0</v>
      </c>
      <c r="U36" s="67"/>
      <c r="V36" s="158"/>
    </row>
    <row r="37" spans="1:23" ht="15" thickBot="1" x14ac:dyDescent="0.25">
      <c r="A37" s="488"/>
      <c r="B37" s="464"/>
      <c r="C37" s="474" t="s">
        <v>49</v>
      </c>
      <c r="D37" s="474"/>
      <c r="E37" s="474"/>
      <c r="F37" s="474"/>
      <c r="G37" s="475"/>
      <c r="H37" s="488"/>
      <c r="I37" s="464"/>
      <c r="J37" s="474" t="s">
        <v>49</v>
      </c>
      <c r="K37" s="474"/>
      <c r="L37" s="474"/>
      <c r="M37" s="474"/>
      <c r="N37" s="474"/>
      <c r="O37" s="512"/>
      <c r="P37" s="464"/>
      <c r="Q37" s="506" t="s">
        <v>49</v>
      </c>
      <c r="R37" s="506"/>
      <c r="S37" s="506"/>
      <c r="T37" s="506"/>
      <c r="U37" s="507"/>
      <c r="V37" s="158"/>
    </row>
    <row r="38" spans="1:23" x14ac:dyDescent="0.2">
      <c r="A38" s="488"/>
      <c r="B38" s="465"/>
      <c r="C38" s="64" t="s">
        <v>48</v>
      </c>
      <c r="D38" s="63" t="s">
        <v>44</v>
      </c>
      <c r="E38" s="66"/>
      <c r="F38" s="65"/>
      <c r="G38" s="59"/>
      <c r="H38" s="488"/>
      <c r="I38" s="465"/>
      <c r="J38" s="64" t="s">
        <v>48</v>
      </c>
      <c r="K38" s="63" t="s">
        <v>44</v>
      </c>
      <c r="L38" s="66"/>
      <c r="M38" s="54"/>
      <c r="N38" s="107"/>
      <c r="O38" s="512"/>
      <c r="P38" s="464"/>
      <c r="Q38" s="205" t="s">
        <v>48</v>
      </c>
      <c r="R38" s="63" t="s">
        <v>44</v>
      </c>
      <c r="S38" s="291" t="s">
        <v>140</v>
      </c>
      <c r="T38" s="292"/>
      <c r="U38" s="293" t="s">
        <v>140</v>
      </c>
      <c r="V38" s="157"/>
    </row>
    <row r="39" spans="1:23" ht="51" x14ac:dyDescent="0.2">
      <c r="A39" s="488"/>
      <c r="B39" s="465"/>
      <c r="C39" s="57" t="s">
        <v>47</v>
      </c>
      <c r="D39" s="56" t="s">
        <v>44</v>
      </c>
      <c r="E39" s="61"/>
      <c r="F39" s="60"/>
      <c r="G39" s="53"/>
      <c r="H39" s="488"/>
      <c r="I39" s="465"/>
      <c r="J39" s="57" t="s">
        <v>47</v>
      </c>
      <c r="K39" s="56" t="s">
        <v>44</v>
      </c>
      <c r="L39" s="61"/>
      <c r="M39" s="54"/>
      <c r="N39" s="77"/>
      <c r="O39" s="512"/>
      <c r="P39" s="464"/>
      <c r="Q39" s="73" t="s">
        <v>47</v>
      </c>
      <c r="R39" s="56" t="s">
        <v>44</v>
      </c>
      <c r="S39" s="294" t="s">
        <v>140</v>
      </c>
      <c r="T39" s="292"/>
      <c r="U39" s="295" t="s">
        <v>140</v>
      </c>
      <c r="V39" s="157"/>
    </row>
    <row r="40" spans="1:23" ht="25.5" x14ac:dyDescent="0.2">
      <c r="A40" s="488"/>
      <c r="B40" s="465"/>
      <c r="C40" s="57" t="s">
        <v>46</v>
      </c>
      <c r="D40" s="56" t="s">
        <v>44</v>
      </c>
      <c r="E40" s="61"/>
      <c r="F40" s="60"/>
      <c r="G40" s="53"/>
      <c r="H40" s="488"/>
      <c r="I40" s="465"/>
      <c r="J40" s="57" t="s">
        <v>46</v>
      </c>
      <c r="K40" s="56" t="s">
        <v>44</v>
      </c>
      <c r="L40" s="61"/>
      <c r="M40" s="54"/>
      <c r="N40" s="77"/>
      <c r="O40" s="512"/>
      <c r="P40" s="464"/>
      <c r="Q40" s="73" t="s">
        <v>46</v>
      </c>
      <c r="R40" s="56" t="s">
        <v>44</v>
      </c>
      <c r="S40" s="294" t="s">
        <v>140</v>
      </c>
      <c r="T40" s="292"/>
      <c r="U40" s="295" t="s">
        <v>140</v>
      </c>
      <c r="V40" s="157"/>
    </row>
    <row r="41" spans="1:23" ht="25.5" x14ac:dyDescent="0.2">
      <c r="A41" s="488"/>
      <c r="B41" s="465"/>
      <c r="C41" s="57" t="s">
        <v>45</v>
      </c>
      <c r="D41" s="56" t="s">
        <v>44</v>
      </c>
      <c r="E41" s="61"/>
      <c r="F41" s="60"/>
      <c r="G41" s="62"/>
      <c r="H41" s="488"/>
      <c r="I41" s="465"/>
      <c r="J41" s="57" t="s">
        <v>45</v>
      </c>
      <c r="K41" s="56" t="s">
        <v>44</v>
      </c>
      <c r="L41" s="61"/>
      <c r="M41" s="54"/>
      <c r="N41" s="368"/>
      <c r="O41" s="512"/>
      <c r="P41" s="464"/>
      <c r="Q41" s="73" t="s">
        <v>45</v>
      </c>
      <c r="R41" s="56" t="s">
        <v>44</v>
      </c>
      <c r="S41" s="294" t="s">
        <v>140</v>
      </c>
      <c r="T41" s="292"/>
      <c r="U41" s="295" t="s">
        <v>140</v>
      </c>
      <c r="V41" s="159"/>
    </row>
    <row r="42" spans="1:23" ht="25.5" x14ac:dyDescent="0.2">
      <c r="A42" s="488"/>
      <c r="B42" s="465"/>
      <c r="C42" s="57" t="s">
        <v>130</v>
      </c>
      <c r="D42" s="56" t="s">
        <v>44</v>
      </c>
      <c r="E42" s="61"/>
      <c r="F42" s="60"/>
      <c r="G42" s="53"/>
      <c r="H42" s="488"/>
      <c r="I42" s="465"/>
      <c r="J42" s="57" t="s">
        <v>130</v>
      </c>
      <c r="K42" s="56" t="s">
        <v>44</v>
      </c>
      <c r="L42" s="61"/>
      <c r="M42" s="54"/>
      <c r="N42" s="77"/>
      <c r="O42" s="512"/>
      <c r="P42" s="464"/>
      <c r="Q42" s="73" t="s">
        <v>130</v>
      </c>
      <c r="R42" s="56" t="s">
        <v>44</v>
      </c>
      <c r="S42" s="294" t="s">
        <v>140</v>
      </c>
      <c r="T42" s="292"/>
      <c r="U42" s="295" t="s">
        <v>140</v>
      </c>
      <c r="V42" s="157"/>
    </row>
    <row r="43" spans="1:23" x14ac:dyDescent="0.2">
      <c r="A43" s="488"/>
      <c r="B43" s="465"/>
      <c r="C43" s="57" t="s">
        <v>43</v>
      </c>
      <c r="D43" s="56" t="s">
        <v>42</v>
      </c>
      <c r="E43" s="61"/>
      <c r="F43" s="60"/>
      <c r="G43" s="53"/>
      <c r="H43" s="488"/>
      <c r="I43" s="465"/>
      <c r="J43" s="57" t="s">
        <v>43</v>
      </c>
      <c r="K43" s="56" t="s">
        <v>42</v>
      </c>
      <c r="L43" s="61"/>
      <c r="M43" s="54"/>
      <c r="N43" s="77"/>
      <c r="O43" s="512"/>
      <c r="P43" s="464"/>
      <c r="Q43" s="73" t="s">
        <v>43</v>
      </c>
      <c r="R43" s="56" t="s">
        <v>42</v>
      </c>
      <c r="S43" s="294" t="s">
        <v>140</v>
      </c>
      <c r="T43" s="292"/>
      <c r="U43" s="295" t="s">
        <v>140</v>
      </c>
      <c r="V43" s="157"/>
    </row>
    <row r="44" spans="1:23" ht="26.25" thickBot="1" x14ac:dyDescent="0.25">
      <c r="A44" s="488"/>
      <c r="B44" s="465"/>
      <c r="C44" s="57" t="s">
        <v>41</v>
      </c>
      <c r="D44" s="56" t="s">
        <v>40</v>
      </c>
      <c r="E44" s="61"/>
      <c r="F44" s="60"/>
      <c r="G44" s="53"/>
      <c r="H44" s="488"/>
      <c r="I44" s="465"/>
      <c r="J44" s="57" t="s">
        <v>41</v>
      </c>
      <c r="K44" s="56" t="s">
        <v>40</v>
      </c>
      <c r="L44" s="61"/>
      <c r="M44" s="54"/>
      <c r="N44" s="77"/>
      <c r="O44" s="512"/>
      <c r="P44" s="464"/>
      <c r="Q44" s="73" t="s">
        <v>41</v>
      </c>
      <c r="R44" s="56" t="s">
        <v>40</v>
      </c>
      <c r="S44" s="294" t="s">
        <v>140</v>
      </c>
      <c r="T44" s="292"/>
      <c r="U44" s="295" t="s">
        <v>140</v>
      </c>
      <c r="V44" s="157"/>
    </row>
    <row r="45" spans="1:23" ht="15" hidden="1" customHeight="1" thickBot="1" x14ac:dyDescent="0.25">
      <c r="A45" s="488"/>
      <c r="B45" s="465"/>
      <c r="C45" s="8" t="s">
        <v>2</v>
      </c>
      <c r="D45" s="7"/>
      <c r="E45" s="52"/>
      <c r="F45" s="6">
        <f>SUM(F38:F44)</f>
        <v>0</v>
      </c>
      <c r="G45" s="5"/>
      <c r="H45" s="488"/>
      <c r="I45" s="465"/>
      <c r="J45" s="8" t="s">
        <v>2</v>
      </c>
      <c r="K45" s="7"/>
      <c r="L45" s="52"/>
      <c r="M45" s="6">
        <f>SUM(M38:M44)</f>
        <v>0</v>
      </c>
      <c r="N45" s="369"/>
      <c r="O45" s="512"/>
      <c r="P45" s="464"/>
      <c r="Q45" s="307" t="s">
        <v>2</v>
      </c>
      <c r="R45" s="296"/>
      <c r="S45" s="297"/>
      <c r="T45" s="298">
        <f>SUM(T38:T44)</f>
        <v>0</v>
      </c>
      <c r="U45" s="299"/>
      <c r="V45" s="147"/>
    </row>
    <row r="46" spans="1:23" ht="31.5" customHeight="1" thickBot="1" x14ac:dyDescent="0.25">
      <c r="A46" s="488"/>
      <c r="B46" s="464"/>
      <c r="C46" s="466" t="s">
        <v>39</v>
      </c>
      <c r="D46" s="466"/>
      <c r="E46" s="466"/>
      <c r="F46" s="466"/>
      <c r="G46" s="467"/>
      <c r="H46" s="488"/>
      <c r="I46" s="464"/>
      <c r="J46" s="466" t="s">
        <v>39</v>
      </c>
      <c r="K46" s="466"/>
      <c r="L46" s="466"/>
      <c r="M46" s="466"/>
      <c r="N46" s="468"/>
      <c r="O46" s="512"/>
      <c r="P46" s="464"/>
      <c r="Q46" s="514" t="s">
        <v>39</v>
      </c>
      <c r="R46" s="504"/>
      <c r="S46" s="504"/>
      <c r="T46" s="504"/>
      <c r="U46" s="505"/>
      <c r="V46" s="46"/>
    </row>
    <row r="47" spans="1:23" ht="90" thickBot="1" x14ac:dyDescent="0.25">
      <c r="A47" s="488"/>
      <c r="B47" s="464"/>
      <c r="C47" s="47" t="s">
        <v>38</v>
      </c>
      <c r="D47" s="38" t="s">
        <v>37</v>
      </c>
      <c r="E47" s="38"/>
      <c r="F47" s="135"/>
      <c r="G47" s="50"/>
      <c r="H47" s="488"/>
      <c r="I47" s="464"/>
      <c r="J47" s="47" t="s">
        <v>38</v>
      </c>
      <c r="K47" s="50" t="s">
        <v>37</v>
      </c>
      <c r="L47" s="50"/>
      <c r="M47" s="3"/>
      <c r="N47" s="11"/>
      <c r="O47" s="512"/>
      <c r="P47" s="464"/>
      <c r="Q47" s="279" t="s">
        <v>38</v>
      </c>
      <c r="R47" s="128" t="s">
        <v>37</v>
      </c>
      <c r="S47" s="128" t="s">
        <v>140</v>
      </c>
      <c r="T47" s="244"/>
      <c r="U47" s="340" t="s">
        <v>140</v>
      </c>
      <c r="V47" s="46"/>
    </row>
    <row r="48" spans="1:23" ht="15" hidden="1" customHeight="1" x14ac:dyDescent="0.2">
      <c r="A48" s="488"/>
      <c r="B48" s="465"/>
      <c r="C48" s="43"/>
      <c r="D48" s="31"/>
      <c r="E48" s="31"/>
      <c r="F48" s="32"/>
      <c r="G48" s="31"/>
      <c r="H48" s="488"/>
      <c r="I48" s="465"/>
      <c r="J48" s="43"/>
      <c r="K48" s="31"/>
      <c r="L48" s="31"/>
      <c r="M48" s="160"/>
      <c r="N48" s="42"/>
      <c r="O48" s="512"/>
      <c r="P48" s="464"/>
      <c r="Q48" s="207"/>
      <c r="R48" s="31"/>
      <c r="S48" s="31"/>
      <c r="T48" s="32"/>
      <c r="U48" s="71"/>
      <c r="V48" s="46"/>
      <c r="W48" s="3"/>
    </row>
    <row r="49" spans="1:23" ht="15" hidden="1" customHeight="1" x14ac:dyDescent="0.2">
      <c r="A49" s="488"/>
      <c r="B49" s="465"/>
      <c r="C49" s="43"/>
      <c r="D49" s="31"/>
      <c r="E49" s="31"/>
      <c r="F49" s="32"/>
      <c r="G49" s="31"/>
      <c r="H49" s="488"/>
      <c r="I49" s="465"/>
      <c r="J49" s="43"/>
      <c r="K49" s="31"/>
      <c r="L49" s="31"/>
      <c r="M49" s="160"/>
      <c r="N49" s="42"/>
      <c r="O49" s="512"/>
      <c r="P49" s="464"/>
      <c r="Q49" s="207"/>
      <c r="R49" s="31"/>
      <c r="S49" s="31"/>
      <c r="T49" s="32"/>
      <c r="U49" s="71"/>
      <c r="V49" s="46"/>
      <c r="W49" s="3"/>
    </row>
    <row r="50" spans="1:23" ht="15" hidden="1" customHeight="1" x14ac:dyDescent="0.2">
      <c r="A50" s="488"/>
      <c r="B50" s="465"/>
      <c r="C50" s="43"/>
      <c r="D50" s="31"/>
      <c r="E50" s="31"/>
      <c r="F50" s="32"/>
      <c r="G50" s="31"/>
      <c r="H50" s="488"/>
      <c r="I50" s="465"/>
      <c r="J50" s="43"/>
      <c r="K50" s="31"/>
      <c r="L50" s="31"/>
      <c r="M50" s="160"/>
      <c r="N50" s="42"/>
      <c r="O50" s="512"/>
      <c r="P50" s="464"/>
      <c r="Q50" s="207"/>
      <c r="R50" s="31"/>
      <c r="S50" s="31"/>
      <c r="T50" s="32"/>
      <c r="U50" s="71"/>
      <c r="V50" s="46"/>
      <c r="W50" s="3"/>
    </row>
    <row r="51" spans="1:23" ht="15" hidden="1" customHeight="1" x14ac:dyDescent="0.2">
      <c r="A51" s="488"/>
      <c r="B51" s="465"/>
      <c r="C51" s="43"/>
      <c r="D51" s="31"/>
      <c r="E51" s="31"/>
      <c r="F51" s="32"/>
      <c r="G51" s="31"/>
      <c r="H51" s="488"/>
      <c r="I51" s="465"/>
      <c r="J51" s="43"/>
      <c r="K51" s="31"/>
      <c r="L51" s="31"/>
      <c r="M51" s="160"/>
      <c r="N51" s="42"/>
      <c r="O51" s="512"/>
      <c r="P51" s="464"/>
      <c r="Q51" s="207"/>
      <c r="R51" s="31"/>
      <c r="S51" s="31"/>
      <c r="T51" s="32"/>
      <c r="U51" s="71"/>
      <c r="V51" s="46"/>
      <c r="W51" s="3"/>
    </row>
    <row r="52" spans="1:23" ht="15" hidden="1" customHeight="1" x14ac:dyDescent="0.2">
      <c r="A52" s="488"/>
      <c r="B52" s="465"/>
      <c r="C52" s="43"/>
      <c r="D52" s="31"/>
      <c r="E52" s="31"/>
      <c r="F52" s="32"/>
      <c r="G52" s="31"/>
      <c r="H52" s="488"/>
      <c r="I52" s="465"/>
      <c r="J52" s="43"/>
      <c r="K52" s="31"/>
      <c r="L52" s="31"/>
      <c r="M52" s="160"/>
      <c r="N52" s="42"/>
      <c r="O52" s="512"/>
      <c r="P52" s="464"/>
      <c r="Q52" s="207"/>
      <c r="R52" s="31"/>
      <c r="S52" s="31"/>
      <c r="T52" s="32"/>
      <c r="U52" s="71"/>
      <c r="V52" s="46"/>
      <c r="W52" s="3"/>
    </row>
    <row r="53" spans="1:23" ht="15" hidden="1" customHeight="1" x14ac:dyDescent="0.2">
      <c r="A53" s="488"/>
      <c r="B53" s="465"/>
      <c r="C53" s="43"/>
      <c r="D53" s="31"/>
      <c r="E53" s="31"/>
      <c r="F53" s="32"/>
      <c r="G53" s="31"/>
      <c r="H53" s="488"/>
      <c r="I53" s="465"/>
      <c r="J53" s="43"/>
      <c r="K53" s="31"/>
      <c r="L53" s="31"/>
      <c r="M53" s="160"/>
      <c r="N53" s="42"/>
      <c r="O53" s="512"/>
      <c r="P53" s="464"/>
      <c r="Q53" s="207"/>
      <c r="R53" s="31"/>
      <c r="S53" s="31"/>
      <c r="T53" s="32"/>
      <c r="U53" s="71"/>
      <c r="V53" s="46"/>
      <c r="W53" s="3"/>
    </row>
    <row r="54" spans="1:23" ht="15" hidden="1" customHeight="1" x14ac:dyDescent="0.2">
      <c r="A54" s="488"/>
      <c r="B54" s="465"/>
      <c r="C54" s="43"/>
      <c r="D54" s="31"/>
      <c r="E54" s="31"/>
      <c r="F54" s="32"/>
      <c r="G54" s="31"/>
      <c r="H54" s="488"/>
      <c r="I54" s="465"/>
      <c r="J54" s="43"/>
      <c r="K54" s="31"/>
      <c r="L54" s="31"/>
      <c r="M54" s="160"/>
      <c r="N54" s="42"/>
      <c r="O54" s="512"/>
      <c r="P54" s="464"/>
      <c r="Q54" s="207"/>
      <c r="R54" s="31"/>
      <c r="S54" s="31"/>
      <c r="T54" s="32"/>
      <c r="U54" s="71"/>
      <c r="V54" s="46"/>
      <c r="W54" s="3"/>
    </row>
    <row r="55" spans="1:23" ht="15" hidden="1" customHeight="1" x14ac:dyDescent="0.2">
      <c r="A55" s="488"/>
      <c r="B55" s="465"/>
      <c r="C55" s="43"/>
      <c r="D55" s="31"/>
      <c r="E55" s="31"/>
      <c r="F55" s="32"/>
      <c r="G55" s="31"/>
      <c r="H55" s="488"/>
      <c r="I55" s="465"/>
      <c r="J55" s="43"/>
      <c r="K55" s="31"/>
      <c r="L55" s="31"/>
      <c r="M55" s="160"/>
      <c r="N55" s="42"/>
      <c r="O55" s="512"/>
      <c r="P55" s="464"/>
      <c r="Q55" s="207"/>
      <c r="R55" s="31"/>
      <c r="S55" s="31"/>
      <c r="T55" s="32"/>
      <c r="U55" s="71"/>
      <c r="V55" s="46"/>
      <c r="W55" s="3"/>
    </row>
    <row r="56" spans="1:23" ht="15" hidden="1" customHeight="1" x14ac:dyDescent="0.2">
      <c r="A56" s="488"/>
      <c r="B56" s="465"/>
      <c r="C56" s="43"/>
      <c r="D56" s="31"/>
      <c r="E56" s="31"/>
      <c r="F56" s="32"/>
      <c r="G56" s="31"/>
      <c r="H56" s="488"/>
      <c r="I56" s="465"/>
      <c r="J56" s="43"/>
      <c r="K56" s="31"/>
      <c r="L56" s="31"/>
      <c r="M56" s="160"/>
      <c r="N56" s="42"/>
      <c r="O56" s="512"/>
      <c r="P56" s="464"/>
      <c r="Q56" s="207"/>
      <c r="R56" s="31"/>
      <c r="S56" s="31"/>
      <c r="T56" s="32"/>
      <c r="U56" s="71"/>
      <c r="V56" s="46"/>
      <c r="W56" s="3"/>
    </row>
    <row r="57" spans="1:23" ht="15" hidden="1" customHeight="1" x14ac:dyDescent="0.2">
      <c r="A57" s="488"/>
      <c r="B57" s="465"/>
      <c r="C57" s="43"/>
      <c r="D57" s="31"/>
      <c r="E57" s="31"/>
      <c r="F57" s="32"/>
      <c r="G57" s="31"/>
      <c r="H57" s="488"/>
      <c r="I57" s="465"/>
      <c r="J57" s="43"/>
      <c r="K57" s="31"/>
      <c r="L57" s="31"/>
      <c r="M57" s="160"/>
      <c r="N57" s="42"/>
      <c r="O57" s="512"/>
      <c r="P57" s="464"/>
      <c r="Q57" s="207"/>
      <c r="R57" s="31"/>
      <c r="S57" s="31"/>
      <c r="T57" s="32"/>
      <c r="U57" s="71"/>
      <c r="V57" s="46"/>
      <c r="W57" s="3"/>
    </row>
    <row r="58" spans="1:23" ht="15" hidden="1" customHeight="1" x14ac:dyDescent="0.2">
      <c r="A58" s="488"/>
      <c r="B58" s="465"/>
      <c r="C58" s="43"/>
      <c r="D58" s="31"/>
      <c r="E58" s="31"/>
      <c r="F58" s="32"/>
      <c r="G58" s="31"/>
      <c r="H58" s="488"/>
      <c r="I58" s="465"/>
      <c r="J58" s="43"/>
      <c r="K58" s="31"/>
      <c r="L58" s="31"/>
      <c r="M58" s="160"/>
      <c r="N58" s="42"/>
      <c r="O58" s="512"/>
      <c r="P58" s="464"/>
      <c r="Q58" s="207"/>
      <c r="R58" s="31"/>
      <c r="S58" s="31"/>
      <c r="T58" s="32"/>
      <c r="U58" s="71"/>
      <c r="V58" s="46"/>
      <c r="W58" s="3"/>
    </row>
    <row r="59" spans="1:23" ht="15" hidden="1" customHeight="1" x14ac:dyDescent="0.2">
      <c r="A59" s="488"/>
      <c r="B59" s="465"/>
      <c r="C59" s="43"/>
      <c r="D59" s="31"/>
      <c r="E59" s="31"/>
      <c r="F59" s="32"/>
      <c r="G59" s="31"/>
      <c r="H59" s="488"/>
      <c r="I59" s="465"/>
      <c r="J59" s="43"/>
      <c r="K59" s="31"/>
      <c r="L59" s="31"/>
      <c r="M59" s="160"/>
      <c r="N59" s="42"/>
      <c r="O59" s="512"/>
      <c r="P59" s="464"/>
      <c r="Q59" s="207"/>
      <c r="R59" s="31"/>
      <c r="S59" s="31"/>
      <c r="T59" s="32"/>
      <c r="U59" s="71"/>
      <c r="V59" s="46"/>
      <c r="W59" s="3"/>
    </row>
    <row r="60" spans="1:23" ht="15" hidden="1" customHeight="1" x14ac:dyDescent="0.2">
      <c r="A60" s="488"/>
      <c r="B60" s="465"/>
      <c r="C60" s="43"/>
      <c r="D60" s="31"/>
      <c r="E60" s="31"/>
      <c r="F60" s="32"/>
      <c r="G60" s="31"/>
      <c r="H60" s="488"/>
      <c r="I60" s="465"/>
      <c r="J60" s="43"/>
      <c r="K60" s="31"/>
      <c r="L60" s="31"/>
      <c r="M60" s="160"/>
      <c r="N60" s="42"/>
      <c r="O60" s="512"/>
      <c r="P60" s="464"/>
      <c r="Q60" s="207"/>
      <c r="R60" s="31"/>
      <c r="S60" s="31"/>
      <c r="T60" s="32"/>
      <c r="U60" s="71"/>
      <c r="V60" s="46"/>
      <c r="W60" s="3"/>
    </row>
    <row r="61" spans="1:23" ht="15" hidden="1" customHeight="1" x14ac:dyDescent="0.2">
      <c r="A61" s="488"/>
      <c r="B61" s="465"/>
      <c r="C61" s="43"/>
      <c r="D61" s="31"/>
      <c r="E61" s="31"/>
      <c r="F61" s="32"/>
      <c r="G61" s="31"/>
      <c r="H61" s="488"/>
      <c r="I61" s="465"/>
      <c r="J61" s="43"/>
      <c r="K61" s="31"/>
      <c r="L61" s="31"/>
      <c r="M61" s="160"/>
      <c r="N61" s="42"/>
      <c r="O61" s="512"/>
      <c r="P61" s="464"/>
      <c r="Q61" s="207"/>
      <c r="R61" s="31"/>
      <c r="S61" s="31"/>
      <c r="T61" s="32"/>
      <c r="U61" s="71"/>
      <c r="V61" s="46"/>
      <c r="W61" s="3"/>
    </row>
    <row r="62" spans="1:23" ht="15" hidden="1" customHeight="1" x14ac:dyDescent="0.2">
      <c r="A62" s="488"/>
      <c r="B62" s="465"/>
      <c r="C62" s="43"/>
      <c r="D62" s="31"/>
      <c r="E62" s="31"/>
      <c r="F62" s="32"/>
      <c r="G62" s="31"/>
      <c r="H62" s="488"/>
      <c r="I62" s="465"/>
      <c r="J62" s="43"/>
      <c r="K62" s="31"/>
      <c r="L62" s="31"/>
      <c r="M62" s="160"/>
      <c r="N62" s="42"/>
      <c r="O62" s="512"/>
      <c r="P62" s="464"/>
      <c r="Q62" s="207"/>
      <c r="R62" s="31"/>
      <c r="S62" s="31"/>
      <c r="T62" s="32"/>
      <c r="U62" s="71"/>
      <c r="V62" s="46"/>
      <c r="W62" s="3"/>
    </row>
    <row r="63" spans="1:23" ht="15" hidden="1" customHeight="1" x14ac:dyDescent="0.2">
      <c r="A63" s="488"/>
      <c r="B63" s="465"/>
      <c r="C63" s="43"/>
      <c r="D63" s="31"/>
      <c r="E63" s="31"/>
      <c r="F63" s="32"/>
      <c r="G63" s="31"/>
      <c r="H63" s="488"/>
      <c r="I63" s="465"/>
      <c r="J63" s="43"/>
      <c r="K63" s="31"/>
      <c r="L63" s="31"/>
      <c r="M63" s="160"/>
      <c r="N63" s="42"/>
      <c r="O63" s="512"/>
      <c r="P63" s="464"/>
      <c r="Q63" s="207"/>
      <c r="R63" s="31"/>
      <c r="S63" s="31"/>
      <c r="T63" s="32"/>
      <c r="U63" s="71"/>
      <c r="V63" s="46"/>
      <c r="W63" s="3"/>
    </row>
    <row r="64" spans="1:23" ht="15" hidden="1" customHeight="1" x14ac:dyDescent="0.2">
      <c r="A64" s="488"/>
      <c r="B64" s="465"/>
      <c r="C64" s="43"/>
      <c r="D64" s="31"/>
      <c r="E64" s="31"/>
      <c r="F64" s="32"/>
      <c r="G64" s="31"/>
      <c r="H64" s="488"/>
      <c r="I64" s="465"/>
      <c r="J64" s="43"/>
      <c r="K64" s="31"/>
      <c r="L64" s="31"/>
      <c r="M64" s="160"/>
      <c r="N64" s="42"/>
      <c r="O64" s="512"/>
      <c r="P64" s="464"/>
      <c r="Q64" s="207"/>
      <c r="R64" s="31"/>
      <c r="S64" s="31"/>
      <c r="T64" s="32"/>
      <c r="U64" s="71"/>
      <c r="V64" s="46"/>
      <c r="W64" s="3"/>
    </row>
    <row r="65" spans="1:24" ht="15" hidden="1" customHeight="1" x14ac:dyDescent="0.2">
      <c r="A65" s="488"/>
      <c r="B65" s="465"/>
      <c r="C65" s="43"/>
      <c r="D65" s="31"/>
      <c r="E65" s="31"/>
      <c r="F65" s="32"/>
      <c r="G65" s="31"/>
      <c r="H65" s="488"/>
      <c r="I65" s="465"/>
      <c r="J65" s="43"/>
      <c r="K65" s="31"/>
      <c r="L65" s="31"/>
      <c r="M65" s="160"/>
      <c r="N65" s="42"/>
      <c r="O65" s="512"/>
      <c r="P65" s="464"/>
      <c r="Q65" s="207"/>
      <c r="R65" s="31"/>
      <c r="S65" s="31"/>
      <c r="T65" s="32"/>
      <c r="U65" s="71"/>
      <c r="V65" s="46"/>
      <c r="W65" s="3"/>
    </row>
    <row r="66" spans="1:24" ht="15" hidden="1" customHeight="1" x14ac:dyDescent="0.2">
      <c r="A66" s="488"/>
      <c r="B66" s="465"/>
      <c r="C66" s="43"/>
      <c r="D66" s="31"/>
      <c r="E66" s="31"/>
      <c r="F66" s="32"/>
      <c r="G66" s="31"/>
      <c r="H66" s="488"/>
      <c r="I66" s="465"/>
      <c r="J66" s="43"/>
      <c r="K66" s="31"/>
      <c r="L66" s="31"/>
      <c r="M66" s="160"/>
      <c r="N66" s="42"/>
      <c r="O66" s="512"/>
      <c r="P66" s="464"/>
      <c r="Q66" s="207"/>
      <c r="R66" s="31"/>
      <c r="S66" s="31"/>
      <c r="T66" s="32"/>
      <c r="U66" s="71"/>
      <c r="V66" s="46"/>
      <c r="W66" s="3"/>
    </row>
    <row r="67" spans="1:24" ht="15" hidden="1" customHeight="1" x14ac:dyDescent="0.2">
      <c r="A67" s="488"/>
      <c r="B67" s="465"/>
      <c r="C67" s="43"/>
      <c r="D67" s="31"/>
      <c r="E67" s="31"/>
      <c r="F67" s="32"/>
      <c r="G67" s="31"/>
      <c r="H67" s="488"/>
      <c r="I67" s="465"/>
      <c r="J67" s="43"/>
      <c r="K67" s="31"/>
      <c r="L67" s="31"/>
      <c r="M67" s="160"/>
      <c r="N67" s="42"/>
      <c r="O67" s="512"/>
      <c r="P67" s="464"/>
      <c r="Q67" s="207"/>
      <c r="R67" s="31"/>
      <c r="S67" s="31"/>
      <c r="T67" s="32"/>
      <c r="U67" s="71"/>
      <c r="V67" s="46"/>
      <c r="W67" s="3"/>
    </row>
    <row r="68" spans="1:24" ht="15" hidden="1" customHeight="1" x14ac:dyDescent="0.2">
      <c r="A68" s="488"/>
      <c r="B68" s="465"/>
      <c r="C68" s="43"/>
      <c r="D68" s="31"/>
      <c r="E68" s="31"/>
      <c r="F68" s="32"/>
      <c r="G68" s="31"/>
      <c r="H68" s="488"/>
      <c r="I68" s="465"/>
      <c r="J68" s="43"/>
      <c r="K68" s="31"/>
      <c r="L68" s="31"/>
      <c r="M68" s="160"/>
      <c r="N68" s="42"/>
      <c r="O68" s="512"/>
      <c r="P68" s="464"/>
      <c r="Q68" s="207"/>
      <c r="R68" s="31"/>
      <c r="S68" s="31"/>
      <c r="T68" s="32"/>
      <c r="U68" s="71"/>
      <c r="V68" s="46"/>
      <c r="W68" s="3"/>
    </row>
    <row r="69" spans="1:24" ht="15" hidden="1" thickBot="1" x14ac:dyDescent="0.25">
      <c r="A69" s="488"/>
      <c r="B69" s="464"/>
      <c r="C69" s="38"/>
      <c r="D69" s="38"/>
      <c r="E69" s="50"/>
      <c r="F69" s="39"/>
      <c r="G69" s="38"/>
      <c r="H69" s="488"/>
      <c r="I69" s="464"/>
      <c r="J69" s="38"/>
      <c r="K69" s="38"/>
      <c r="L69" s="39"/>
      <c r="M69" s="161"/>
      <c r="N69" s="399"/>
      <c r="O69" s="512"/>
      <c r="P69" s="464"/>
      <c r="Q69" s="254"/>
      <c r="R69" s="14"/>
      <c r="S69" s="19"/>
      <c r="T69" s="19"/>
      <c r="U69" s="219"/>
      <c r="V69" s="46"/>
    </row>
    <row r="70" spans="1:24" ht="15" customHeight="1" thickBot="1" x14ac:dyDescent="0.25">
      <c r="A70" s="488"/>
      <c r="B70" s="464"/>
      <c r="C70" s="468" t="s">
        <v>36</v>
      </c>
      <c r="D70" s="468"/>
      <c r="E70" s="468"/>
      <c r="F70" s="468"/>
      <c r="G70" s="469"/>
      <c r="H70" s="488"/>
      <c r="I70" s="464"/>
      <c r="J70" s="468" t="s">
        <v>36</v>
      </c>
      <c r="K70" s="468"/>
      <c r="L70" s="468"/>
      <c r="M70" s="468"/>
      <c r="N70" s="471"/>
      <c r="O70" s="512"/>
      <c r="P70" s="464"/>
      <c r="Q70" s="468" t="s">
        <v>36</v>
      </c>
      <c r="R70" s="468"/>
      <c r="S70" s="468"/>
      <c r="T70" s="468"/>
      <c r="U70" s="469"/>
      <c r="V70" s="46"/>
    </row>
    <row r="71" spans="1:24" ht="54.75" thickBot="1" x14ac:dyDescent="0.25">
      <c r="A71" s="17"/>
      <c r="B71" s="16"/>
      <c r="C71" s="15" t="s">
        <v>7</v>
      </c>
      <c r="D71" s="31" t="s">
        <v>3</v>
      </c>
      <c r="E71" s="162">
        <f>$V$71*F71</f>
        <v>0.47373841400617922</v>
      </c>
      <c r="F71" s="32">
        <v>326.87950566426366</v>
      </c>
      <c r="G71" s="11"/>
      <c r="H71" s="17"/>
      <c r="I71" s="16"/>
      <c r="J71" s="163" t="s">
        <v>7</v>
      </c>
      <c r="K71" s="31" t="s">
        <v>3</v>
      </c>
      <c r="L71" s="162">
        <f>$V$71*M71</f>
        <v>0.45005149330587024</v>
      </c>
      <c r="M71" s="12">
        <v>310.53553038105048</v>
      </c>
      <c r="N71" s="11"/>
      <c r="O71" s="10"/>
      <c r="P71" s="326"/>
      <c r="Q71" s="308" t="s">
        <v>7</v>
      </c>
      <c r="R71" s="334" t="s">
        <v>3</v>
      </c>
      <c r="S71" s="304">
        <f>$V$71*T71</f>
        <v>7.6210092687950565E-2</v>
      </c>
      <c r="T71" s="287">
        <v>52.58496395468589</v>
      </c>
      <c r="U71" s="335" t="s">
        <v>150</v>
      </c>
      <c r="V71" s="143">
        <f t="shared" ref="V71" si="2">X71/W71</f>
        <v>1.4492753623188406E-3</v>
      </c>
      <c r="W71" s="2">
        <f t="shared" ref="W71" si="3">T71+M71+F71</f>
        <v>690</v>
      </c>
      <c r="X71" s="1">
        <v>1</v>
      </c>
    </row>
    <row r="72" spans="1:24" ht="15" hidden="1" thickBot="1" x14ac:dyDescent="0.25">
      <c r="A72" s="10"/>
      <c r="B72" s="9"/>
      <c r="C72" s="8" t="s">
        <v>2</v>
      </c>
      <c r="D72" s="7"/>
      <c r="E72" s="6"/>
      <c r="F72" s="6">
        <f>SUM(F71:F71)</f>
        <v>326.87950566426366</v>
      </c>
      <c r="G72" s="5"/>
      <c r="H72" s="10"/>
      <c r="I72" s="9"/>
      <c r="J72" s="8" t="s">
        <v>2</v>
      </c>
      <c r="K72" s="7"/>
      <c r="L72" s="6"/>
      <c r="M72" s="6">
        <f>SUM(M71:M71)</f>
        <v>310.53553038105048</v>
      </c>
      <c r="N72" s="5"/>
      <c r="O72" s="10"/>
      <c r="P72" s="9"/>
      <c r="Q72" s="300" t="s">
        <v>2</v>
      </c>
      <c r="R72" s="301"/>
      <c r="S72" s="302"/>
      <c r="T72" s="302">
        <f>SUM(T71:T71)</f>
        <v>52.58496395468589</v>
      </c>
      <c r="U72" s="303"/>
      <c r="V72" s="147"/>
    </row>
    <row r="73" spans="1:24" ht="15.75" hidden="1" customHeight="1" thickBot="1" x14ac:dyDescent="0.25">
      <c r="A73" s="456" t="s">
        <v>1</v>
      </c>
      <c r="B73" s="457"/>
      <c r="C73" s="458"/>
      <c r="D73" s="458"/>
      <c r="E73" s="459"/>
      <c r="F73" s="452">
        <f>F14+F17+F30+F33+F45+F69+F72+F36</f>
        <v>6971415.7368547888</v>
      </c>
      <c r="G73" s="454"/>
      <c r="H73" s="456" t="s">
        <v>1</v>
      </c>
      <c r="I73" s="457"/>
      <c r="J73" s="458"/>
      <c r="K73" s="458"/>
      <c r="L73" s="459"/>
      <c r="M73" s="452">
        <f>M14+M17+M30+M33+M45+M69+M72+M36</f>
        <v>4379093.4176740842</v>
      </c>
      <c r="N73" s="454"/>
      <c r="O73" s="456" t="s">
        <v>1</v>
      </c>
      <c r="P73" s="457"/>
      <c r="Q73" s="458"/>
      <c r="R73" s="458"/>
      <c r="S73" s="459"/>
      <c r="T73" s="452">
        <f>T14+T17+T30+T33+T45+T69+T72+T36</f>
        <v>741539.84647112631</v>
      </c>
      <c r="U73" s="454"/>
      <c r="V73" s="164"/>
    </row>
    <row r="74" spans="1:24" ht="15" hidden="1" thickBot="1" x14ac:dyDescent="0.25">
      <c r="A74" s="461" t="s">
        <v>0</v>
      </c>
      <c r="B74" s="462"/>
      <c r="C74" s="462"/>
      <c r="D74" s="462"/>
      <c r="E74" s="460"/>
      <c r="F74" s="453"/>
      <c r="G74" s="455"/>
      <c r="H74" s="461" t="s">
        <v>0</v>
      </c>
      <c r="I74" s="462"/>
      <c r="J74" s="462"/>
      <c r="K74" s="462"/>
      <c r="L74" s="460"/>
      <c r="M74" s="453"/>
      <c r="N74" s="455"/>
      <c r="O74" s="461" t="s">
        <v>0</v>
      </c>
      <c r="P74" s="462"/>
      <c r="Q74" s="462"/>
      <c r="R74" s="462"/>
      <c r="S74" s="460"/>
      <c r="T74" s="453"/>
      <c r="U74" s="455"/>
      <c r="V74" s="164"/>
    </row>
    <row r="75" spans="1:24" x14ac:dyDescent="0.2">
      <c r="F75" s="1">
        <v>6971415.7368547888</v>
      </c>
      <c r="M75" s="1">
        <v>4379093.4176740842</v>
      </c>
      <c r="T75" s="1">
        <v>741539.84647112631</v>
      </c>
    </row>
    <row r="76" spans="1:24" x14ac:dyDescent="0.2">
      <c r="F76" s="2">
        <f>F73-F75</f>
        <v>0</v>
      </c>
      <c r="M76" s="2">
        <f>M73-M75</f>
        <v>0</v>
      </c>
      <c r="T76" s="2">
        <f>T73-T75</f>
        <v>0</v>
      </c>
    </row>
    <row r="77" spans="1:24" x14ac:dyDescent="0.2">
      <c r="M77" s="2"/>
      <c r="T77" s="2"/>
    </row>
    <row r="78" spans="1:24" x14ac:dyDescent="0.2">
      <c r="F78" s="3"/>
    </row>
    <row r="79" spans="1:24" x14ac:dyDescent="0.2">
      <c r="F79" s="2">
        <f>F78-F73</f>
        <v>-6971415.7368547888</v>
      </c>
      <c r="M79" s="2"/>
    </row>
  </sheetData>
  <mergeCells count="58">
    <mergeCell ref="R6:U6"/>
    <mergeCell ref="C15:G15"/>
    <mergeCell ref="J15:N15"/>
    <mergeCell ref="Q15:U15"/>
    <mergeCell ref="C18:G18"/>
    <mergeCell ref="J11:N11"/>
    <mergeCell ref="J18:N18"/>
    <mergeCell ref="J12:N12"/>
    <mergeCell ref="Q12:U12"/>
    <mergeCell ref="A11:A70"/>
    <mergeCell ref="B11:B20"/>
    <mergeCell ref="C11:G11"/>
    <mergeCell ref="H11:H70"/>
    <mergeCell ref="I11:I20"/>
    <mergeCell ref="C31:G31"/>
    <mergeCell ref="Q18:U18"/>
    <mergeCell ref="B21:B70"/>
    <mergeCell ref="C21:G21"/>
    <mergeCell ref="I21:I70"/>
    <mergeCell ref="J21:N21"/>
    <mergeCell ref="P21:P70"/>
    <mergeCell ref="Q21:U21"/>
    <mergeCell ref="C22:G22"/>
    <mergeCell ref="J22:N22"/>
    <mergeCell ref="Q22:U22"/>
    <mergeCell ref="O11:O70"/>
    <mergeCell ref="P11:P20"/>
    <mergeCell ref="Q11:U11"/>
    <mergeCell ref="C12:G12"/>
    <mergeCell ref="Q31:U31"/>
    <mergeCell ref="C34:G34"/>
    <mergeCell ref="J34:N34"/>
    <mergeCell ref="Q34:U34"/>
    <mergeCell ref="C37:G37"/>
    <mergeCell ref="J37:N37"/>
    <mergeCell ref="Q37:U37"/>
    <mergeCell ref="J31:N31"/>
    <mergeCell ref="J46:N46"/>
    <mergeCell ref="Q46:U46"/>
    <mergeCell ref="C70:G70"/>
    <mergeCell ref="J70:N70"/>
    <mergeCell ref="Q70:U70"/>
    <mergeCell ref="C46:G46"/>
    <mergeCell ref="U73:U74"/>
    <mergeCell ref="A74:D74"/>
    <mergeCell ref="H74:K74"/>
    <mergeCell ref="O74:R74"/>
    <mergeCell ref="L73:L74"/>
    <mergeCell ref="M73:M74"/>
    <mergeCell ref="N73:N74"/>
    <mergeCell ref="O73:R73"/>
    <mergeCell ref="S73:S74"/>
    <mergeCell ref="T73:T74"/>
    <mergeCell ref="A73:D73"/>
    <mergeCell ref="E73:E74"/>
    <mergeCell ref="F73:F74"/>
    <mergeCell ref="G73:G74"/>
    <mergeCell ref="H73:K73"/>
  </mergeCells>
  <pageMargins left="0.78740157480314965" right="0.31496062992125984" top="0.35433070866141736" bottom="0.35433070866141736" header="0.31496062992125984" footer="0.31496062992125984"/>
  <pageSetup paperSize="9" scale="70" orientation="portrait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Normal="100" zoomScaleSheetLayoutView="100" workbookViewId="0">
      <pane ySplit="6" topLeftCell="A7" activePane="bottomLeft" state="frozen"/>
      <selection activeCell="B1" sqref="B1"/>
      <selection pane="bottomLeft" activeCell="D2" sqref="D2"/>
    </sheetView>
  </sheetViews>
  <sheetFormatPr defaultRowHeight="14.25" x14ac:dyDescent="0.2"/>
  <cols>
    <col min="1" max="1" width="20.5703125" style="165" customWidth="1"/>
    <col min="2" max="2" width="9.85546875" style="165" customWidth="1"/>
    <col min="3" max="3" width="26.140625" style="165" customWidth="1"/>
    <col min="4" max="4" width="21.85546875" style="165" customWidth="1"/>
    <col min="5" max="5" width="18.5703125" style="1" customWidth="1"/>
    <col min="6" max="6" width="18.5703125" style="1" hidden="1" customWidth="1"/>
    <col min="7" max="7" width="21.5703125" style="165" customWidth="1"/>
    <col min="8" max="16384" width="9.140625" style="165"/>
  </cols>
  <sheetData>
    <row r="1" spans="1:8" x14ac:dyDescent="0.2">
      <c r="D1" s="357" t="s">
        <v>178</v>
      </c>
      <c r="E1" s="357"/>
      <c r="F1" s="357"/>
      <c r="G1" s="357"/>
    </row>
    <row r="2" spans="1:8" x14ac:dyDescent="0.2">
      <c r="D2" s="357" t="s">
        <v>166</v>
      </c>
      <c r="E2" s="357"/>
      <c r="F2" s="357"/>
      <c r="G2" s="357"/>
    </row>
    <row r="3" spans="1:8" ht="10.5" customHeight="1" x14ac:dyDescent="0.2">
      <c r="D3" s="357" t="s">
        <v>167</v>
      </c>
      <c r="E3" s="357"/>
      <c r="F3" s="357"/>
      <c r="G3" s="357"/>
    </row>
    <row r="4" spans="1:8" ht="42.75" customHeight="1" x14ac:dyDescent="0.2">
      <c r="D4" s="490" t="s">
        <v>168</v>
      </c>
      <c r="E4" s="490"/>
      <c r="F4" s="490"/>
      <c r="G4" s="490"/>
    </row>
    <row r="5" spans="1:8" ht="15" thickBot="1" x14ac:dyDescent="0.25">
      <c r="H5" s="166"/>
    </row>
    <row r="6" spans="1:8" ht="57.75" thickBot="1" x14ac:dyDescent="0.25">
      <c r="A6" s="167" t="s">
        <v>116</v>
      </c>
      <c r="B6" s="168" t="s">
        <v>115</v>
      </c>
      <c r="C6" s="168" t="s">
        <v>114</v>
      </c>
      <c r="D6" s="168" t="s">
        <v>113</v>
      </c>
      <c r="E6" s="138" t="s">
        <v>112</v>
      </c>
      <c r="F6" s="138" t="s">
        <v>111</v>
      </c>
      <c r="G6" s="168" t="s">
        <v>110</v>
      </c>
    </row>
    <row r="7" spans="1:8" ht="15" thickBot="1" x14ac:dyDescent="0.25">
      <c r="A7" s="169">
        <v>1</v>
      </c>
      <c r="B7" s="170">
        <v>2</v>
      </c>
      <c r="C7" s="309">
        <v>3</v>
      </c>
      <c r="D7" s="309">
        <v>4</v>
      </c>
      <c r="E7" s="310">
        <v>5</v>
      </c>
      <c r="F7" s="310"/>
      <c r="G7" s="309">
        <v>6</v>
      </c>
    </row>
    <row r="8" spans="1:8" ht="27" customHeight="1" thickBot="1" x14ac:dyDescent="0.25">
      <c r="A8" s="535" t="s">
        <v>146</v>
      </c>
      <c r="B8" s="538" t="s">
        <v>147</v>
      </c>
      <c r="C8" s="541" t="s">
        <v>100</v>
      </c>
      <c r="D8" s="542"/>
      <c r="E8" s="542"/>
      <c r="F8" s="542"/>
      <c r="G8" s="543"/>
    </row>
    <row r="9" spans="1:8" ht="17.25" customHeight="1" thickBot="1" x14ac:dyDescent="0.25">
      <c r="A9" s="536"/>
      <c r="B9" s="539"/>
      <c r="C9" s="541" t="s">
        <v>99</v>
      </c>
      <c r="D9" s="542"/>
      <c r="E9" s="542"/>
      <c r="F9" s="542"/>
      <c r="G9" s="543"/>
    </row>
    <row r="10" spans="1:8" ht="28.5" hidden="1" x14ac:dyDescent="0.2">
      <c r="A10" s="536"/>
      <c r="B10" s="539"/>
      <c r="C10" s="311" t="s">
        <v>98</v>
      </c>
      <c r="D10" s="173" t="s">
        <v>37</v>
      </c>
      <c r="E10" s="128"/>
      <c r="F10" s="272"/>
      <c r="G10" s="449"/>
    </row>
    <row r="11" spans="1:8" x14ac:dyDescent="0.2">
      <c r="A11" s="536"/>
      <c r="B11" s="539"/>
      <c r="C11" s="312" t="s">
        <v>97</v>
      </c>
      <c r="D11" s="172" t="s">
        <v>37</v>
      </c>
      <c r="E11" s="31" t="s">
        <v>140</v>
      </c>
      <c r="F11" s="130">
        <f>SUM(F10)</f>
        <v>0</v>
      </c>
      <c r="G11" s="183" t="s">
        <v>140</v>
      </c>
    </row>
    <row r="12" spans="1:8" ht="39.75" customHeight="1" x14ac:dyDescent="0.2">
      <c r="A12" s="536"/>
      <c r="B12" s="539"/>
      <c r="C12" s="544" t="s">
        <v>96</v>
      </c>
      <c r="D12" s="544"/>
      <c r="E12" s="544"/>
      <c r="F12" s="544"/>
      <c r="G12" s="545"/>
    </row>
    <row r="13" spans="1:8" ht="28.5" x14ac:dyDescent="0.2">
      <c r="A13" s="536"/>
      <c r="B13" s="539"/>
      <c r="C13" s="312" t="s">
        <v>131</v>
      </c>
      <c r="D13" s="172" t="s">
        <v>89</v>
      </c>
      <c r="E13" s="145">
        <v>14</v>
      </c>
      <c r="F13" s="32">
        <v>39662.230000000003</v>
      </c>
      <c r="G13" s="183" t="s">
        <v>165</v>
      </c>
    </row>
    <row r="14" spans="1:8" ht="28.5" x14ac:dyDescent="0.2">
      <c r="A14" s="536"/>
      <c r="B14" s="539"/>
      <c r="C14" s="311" t="s">
        <v>132</v>
      </c>
      <c r="D14" s="172" t="s">
        <v>89</v>
      </c>
      <c r="E14" s="145">
        <v>12</v>
      </c>
      <c r="F14" s="32">
        <v>27332.773149999997</v>
      </c>
      <c r="G14" s="183" t="s">
        <v>165</v>
      </c>
    </row>
    <row r="15" spans="1:8" x14ac:dyDescent="0.2">
      <c r="A15" s="536"/>
      <c r="B15" s="539"/>
      <c r="C15" s="312" t="s">
        <v>135</v>
      </c>
      <c r="D15" s="172" t="s">
        <v>10</v>
      </c>
      <c r="E15" s="145">
        <v>8814.9</v>
      </c>
      <c r="F15" s="32">
        <v>2697.93</v>
      </c>
      <c r="G15" s="183" t="s">
        <v>165</v>
      </c>
    </row>
    <row r="16" spans="1:8" ht="15" thickBot="1" x14ac:dyDescent="0.25">
      <c r="A16" s="536"/>
      <c r="B16" s="539"/>
      <c r="C16" s="312" t="s">
        <v>136</v>
      </c>
      <c r="D16" s="172" t="s">
        <v>10</v>
      </c>
      <c r="E16" s="32">
        <v>70</v>
      </c>
      <c r="F16" s="32">
        <v>9100</v>
      </c>
      <c r="G16" s="183" t="s">
        <v>165</v>
      </c>
    </row>
    <row r="17" spans="1:7" ht="15" hidden="1" thickBot="1" x14ac:dyDescent="0.25">
      <c r="A17" s="536"/>
      <c r="B17" s="539"/>
      <c r="C17" s="313" t="s">
        <v>2</v>
      </c>
      <c r="D17" s="175"/>
      <c r="E17" s="109"/>
      <c r="F17" s="112">
        <f>SUM(F13:F16)</f>
        <v>78792.933149999997</v>
      </c>
      <c r="G17" s="176"/>
    </row>
    <row r="18" spans="1:7" ht="39" customHeight="1" thickBot="1" x14ac:dyDescent="0.25">
      <c r="A18" s="536"/>
      <c r="B18" s="539"/>
      <c r="C18" s="526" t="s">
        <v>81</v>
      </c>
      <c r="D18" s="526"/>
      <c r="E18" s="526"/>
      <c r="F18" s="526"/>
      <c r="G18" s="527"/>
    </row>
    <row r="19" spans="1:7" ht="15" thickBot="1" x14ac:dyDescent="0.25">
      <c r="A19" s="536"/>
      <c r="B19" s="539"/>
      <c r="C19" s="170" t="s">
        <v>140</v>
      </c>
      <c r="D19" s="170" t="s">
        <v>140</v>
      </c>
      <c r="E19" s="136" t="s">
        <v>140</v>
      </c>
      <c r="F19" s="136"/>
      <c r="G19" s="170" t="s">
        <v>140</v>
      </c>
    </row>
    <row r="20" spans="1:7" ht="15" hidden="1" thickBot="1" x14ac:dyDescent="0.25">
      <c r="A20" s="536"/>
      <c r="B20" s="540"/>
      <c r="C20" s="171"/>
      <c r="D20" s="171"/>
      <c r="E20" s="38"/>
      <c r="F20" s="38"/>
      <c r="G20" s="171"/>
    </row>
    <row r="21" spans="1:7" ht="30" customHeight="1" thickBot="1" x14ac:dyDescent="0.25">
      <c r="A21" s="536"/>
      <c r="B21" s="546"/>
      <c r="C21" s="526" t="s">
        <v>80</v>
      </c>
      <c r="D21" s="526"/>
      <c r="E21" s="526"/>
      <c r="F21" s="526"/>
      <c r="G21" s="527"/>
    </row>
    <row r="22" spans="1:7" ht="15.75" customHeight="1" thickBot="1" x14ac:dyDescent="0.25">
      <c r="A22" s="536"/>
      <c r="B22" s="547"/>
      <c r="C22" s="549" t="s">
        <v>79</v>
      </c>
      <c r="D22" s="526"/>
      <c r="E22" s="526"/>
      <c r="F22" s="526"/>
      <c r="G22" s="527"/>
    </row>
    <row r="23" spans="1:7" s="178" customFormat="1" ht="15" customHeight="1" x14ac:dyDescent="0.2">
      <c r="A23" s="536"/>
      <c r="B23" s="547"/>
      <c r="C23" s="444" t="s">
        <v>78</v>
      </c>
      <c r="D23" s="445" t="s">
        <v>77</v>
      </c>
      <c r="E23" s="446" t="s">
        <v>140</v>
      </c>
      <c r="F23" s="447"/>
      <c r="G23" s="450" t="s">
        <v>140</v>
      </c>
    </row>
    <row r="24" spans="1:7" s="178" customFormat="1" ht="15" customHeight="1" x14ac:dyDescent="0.2">
      <c r="A24" s="536"/>
      <c r="B24" s="547"/>
      <c r="C24" s="277" t="s">
        <v>76</v>
      </c>
      <c r="D24" s="152" t="s">
        <v>75</v>
      </c>
      <c r="E24" s="421" t="s">
        <v>140</v>
      </c>
      <c r="F24" s="420"/>
      <c r="G24" s="440" t="s">
        <v>140</v>
      </c>
    </row>
    <row r="25" spans="1:7" s="178" customFormat="1" ht="15" customHeight="1" x14ac:dyDescent="0.2">
      <c r="A25" s="536"/>
      <c r="B25" s="547"/>
      <c r="C25" s="277" t="s">
        <v>74</v>
      </c>
      <c r="D25" s="152" t="s">
        <v>69</v>
      </c>
      <c r="E25" s="421" t="s">
        <v>140</v>
      </c>
      <c r="F25" s="420"/>
      <c r="G25" s="440" t="s">
        <v>140</v>
      </c>
    </row>
    <row r="26" spans="1:7" s="178" customFormat="1" ht="25.5" customHeight="1" x14ac:dyDescent="0.2">
      <c r="A26" s="536"/>
      <c r="B26" s="547"/>
      <c r="C26" s="315" t="s">
        <v>73</v>
      </c>
      <c r="D26" s="152" t="s">
        <v>69</v>
      </c>
      <c r="E26" s="421" t="s">
        <v>140</v>
      </c>
      <c r="F26" s="420"/>
      <c r="G26" s="440" t="s">
        <v>140</v>
      </c>
    </row>
    <row r="27" spans="1:7" s="178" customFormat="1" ht="15" customHeight="1" x14ac:dyDescent="0.2">
      <c r="A27" s="536"/>
      <c r="B27" s="547"/>
      <c r="C27" s="277" t="s">
        <v>72</v>
      </c>
      <c r="D27" s="152" t="s">
        <v>69</v>
      </c>
      <c r="E27" s="419" t="s">
        <v>140</v>
      </c>
      <c r="F27" s="422"/>
      <c r="G27" s="440" t="s">
        <v>140</v>
      </c>
    </row>
    <row r="28" spans="1:7" s="178" customFormat="1" ht="25.5" x14ac:dyDescent="0.2">
      <c r="A28" s="536"/>
      <c r="B28" s="547"/>
      <c r="C28" s="277" t="s">
        <v>71</v>
      </c>
      <c r="D28" s="152" t="s">
        <v>69</v>
      </c>
      <c r="E28" s="421" t="s">
        <v>140</v>
      </c>
      <c r="F28" s="420"/>
      <c r="G28" s="440" t="s">
        <v>140</v>
      </c>
    </row>
    <row r="29" spans="1:7" s="178" customFormat="1" ht="15.75" customHeight="1" x14ac:dyDescent="0.2">
      <c r="A29" s="536"/>
      <c r="B29" s="547"/>
      <c r="C29" s="277" t="s">
        <v>70</v>
      </c>
      <c r="D29" s="152" t="s">
        <v>69</v>
      </c>
      <c r="E29" s="421" t="s">
        <v>140</v>
      </c>
      <c r="F29" s="420"/>
      <c r="G29" s="440" t="s">
        <v>140</v>
      </c>
    </row>
    <row r="30" spans="1:7" ht="15.75" hidden="1" customHeight="1" thickBot="1" x14ac:dyDescent="0.25">
      <c r="A30" s="536"/>
      <c r="B30" s="547"/>
      <c r="C30" s="313" t="s">
        <v>2</v>
      </c>
      <c r="D30" s="175"/>
      <c r="E30" s="109"/>
      <c r="F30" s="112">
        <f>SUM(F23:F29)</f>
        <v>0</v>
      </c>
      <c r="G30" s="176"/>
    </row>
    <row r="31" spans="1:7" ht="31.5" customHeight="1" thickBot="1" x14ac:dyDescent="0.25">
      <c r="A31" s="536"/>
      <c r="B31" s="547"/>
      <c r="C31" s="544" t="s">
        <v>68</v>
      </c>
      <c r="D31" s="544"/>
      <c r="E31" s="544"/>
      <c r="F31" s="544"/>
      <c r="G31" s="545"/>
    </row>
    <row r="32" spans="1:7" ht="19.5" customHeight="1" thickBot="1" x14ac:dyDescent="0.25">
      <c r="A32" s="536"/>
      <c r="B32" s="547"/>
      <c r="C32" s="428" t="s">
        <v>140</v>
      </c>
      <c r="D32" s="429" t="s">
        <v>140</v>
      </c>
      <c r="E32" s="430" t="s">
        <v>140</v>
      </c>
      <c r="F32" s="431"/>
      <c r="G32" s="432" t="s">
        <v>140</v>
      </c>
    </row>
    <row r="33" spans="1:7" ht="16.5" hidden="1" customHeight="1" thickBot="1" x14ac:dyDescent="0.25">
      <c r="A33" s="536"/>
      <c r="B33" s="547"/>
      <c r="C33" s="316" t="s">
        <v>2</v>
      </c>
      <c r="D33" s="179"/>
      <c r="E33" s="354"/>
      <c r="F33" s="82">
        <f>SUM(F32:F32)</f>
        <v>0</v>
      </c>
      <c r="G33" s="180"/>
    </row>
    <row r="34" spans="1:7" ht="35.25" customHeight="1" thickBot="1" x14ac:dyDescent="0.25">
      <c r="A34" s="536"/>
      <c r="B34" s="547"/>
      <c r="C34" s="520" t="s">
        <v>53</v>
      </c>
      <c r="D34" s="521"/>
      <c r="E34" s="521"/>
      <c r="F34" s="521"/>
      <c r="G34" s="522"/>
    </row>
    <row r="35" spans="1:7" ht="15.75" customHeight="1" thickBot="1" x14ac:dyDescent="0.25">
      <c r="A35" s="536"/>
      <c r="B35" s="547"/>
      <c r="C35" s="423" t="s">
        <v>140</v>
      </c>
      <c r="D35" s="424" t="s">
        <v>140</v>
      </c>
      <c r="E35" s="425" t="s">
        <v>140</v>
      </c>
      <c r="F35" s="426"/>
      <c r="G35" s="427" t="s">
        <v>140</v>
      </c>
    </row>
    <row r="36" spans="1:7" ht="15.75" hidden="1" customHeight="1" thickBot="1" x14ac:dyDescent="0.25">
      <c r="A36" s="536"/>
      <c r="B36" s="547"/>
      <c r="C36" s="184" t="s">
        <v>2</v>
      </c>
      <c r="D36" s="185"/>
      <c r="E36" s="69"/>
      <c r="F36" s="52">
        <f>SUM(F35:F35)</f>
        <v>0</v>
      </c>
      <c r="G36" s="186"/>
    </row>
    <row r="37" spans="1:7" ht="15.75" customHeight="1" thickBot="1" x14ac:dyDescent="0.25">
      <c r="A37" s="536"/>
      <c r="B37" s="547"/>
      <c r="C37" s="523" t="s">
        <v>49</v>
      </c>
      <c r="D37" s="524"/>
      <c r="E37" s="524"/>
      <c r="F37" s="524"/>
      <c r="G37" s="525"/>
    </row>
    <row r="38" spans="1:7" ht="15.75" customHeight="1" x14ac:dyDescent="0.2">
      <c r="A38" s="536"/>
      <c r="B38" s="547"/>
      <c r="C38" s="317" t="s">
        <v>48</v>
      </c>
      <c r="D38" s="187" t="s">
        <v>44</v>
      </c>
      <c r="E38" s="66" t="s">
        <v>140</v>
      </c>
      <c r="F38" s="430"/>
      <c r="G38" s="432" t="s">
        <v>140</v>
      </c>
    </row>
    <row r="39" spans="1:7" ht="51" x14ac:dyDescent="0.2">
      <c r="A39" s="536"/>
      <c r="B39" s="547"/>
      <c r="C39" s="181" t="s">
        <v>47</v>
      </c>
      <c r="D39" s="182" t="s">
        <v>44</v>
      </c>
      <c r="E39" s="61" t="s">
        <v>140</v>
      </c>
      <c r="F39" s="448"/>
      <c r="G39" s="412" t="s">
        <v>140</v>
      </c>
    </row>
    <row r="40" spans="1:7" ht="25.5" x14ac:dyDescent="0.2">
      <c r="A40" s="536"/>
      <c r="B40" s="547"/>
      <c r="C40" s="181" t="s">
        <v>46</v>
      </c>
      <c r="D40" s="182" t="s">
        <v>44</v>
      </c>
      <c r="E40" s="61" t="s">
        <v>140</v>
      </c>
      <c r="F40" s="448"/>
      <c r="G40" s="412" t="s">
        <v>140</v>
      </c>
    </row>
    <row r="41" spans="1:7" ht="25.5" x14ac:dyDescent="0.2">
      <c r="A41" s="536"/>
      <c r="B41" s="547"/>
      <c r="C41" s="181" t="s">
        <v>45</v>
      </c>
      <c r="D41" s="182" t="s">
        <v>44</v>
      </c>
      <c r="E41" s="61" t="s">
        <v>140</v>
      </c>
      <c r="F41" s="448"/>
      <c r="G41" s="412" t="s">
        <v>140</v>
      </c>
    </row>
    <row r="42" spans="1:7" ht="25.5" x14ac:dyDescent="0.2">
      <c r="A42" s="536"/>
      <c r="B42" s="547"/>
      <c r="C42" s="181" t="s">
        <v>130</v>
      </c>
      <c r="D42" s="182" t="s">
        <v>44</v>
      </c>
      <c r="E42" s="61" t="s">
        <v>140</v>
      </c>
      <c r="F42" s="448"/>
      <c r="G42" s="412" t="s">
        <v>140</v>
      </c>
    </row>
    <row r="43" spans="1:7" ht="15.75" customHeight="1" x14ac:dyDescent="0.2">
      <c r="A43" s="536"/>
      <c r="B43" s="547"/>
      <c r="C43" s="181" t="s">
        <v>43</v>
      </c>
      <c r="D43" s="182" t="s">
        <v>42</v>
      </c>
      <c r="E43" s="61"/>
      <c r="F43" s="448"/>
      <c r="G43" s="412" t="s">
        <v>140</v>
      </c>
    </row>
    <row r="44" spans="1:7" ht="25.5" customHeight="1" thickBot="1" x14ac:dyDescent="0.25">
      <c r="A44" s="536"/>
      <c r="B44" s="547"/>
      <c r="C44" s="181" t="s">
        <v>41</v>
      </c>
      <c r="D44" s="182" t="s">
        <v>40</v>
      </c>
      <c r="E44" s="61" t="s">
        <v>140</v>
      </c>
      <c r="F44" s="448"/>
      <c r="G44" s="412" t="s">
        <v>140</v>
      </c>
    </row>
    <row r="45" spans="1:7" ht="15" hidden="1" thickBot="1" x14ac:dyDescent="0.25">
      <c r="A45" s="536"/>
      <c r="B45" s="547"/>
      <c r="C45" s="318"/>
      <c r="D45" s="189"/>
      <c r="E45" s="52"/>
      <c r="F45" s="6"/>
      <c r="G45" s="190"/>
    </row>
    <row r="46" spans="1:7" ht="27.75" customHeight="1" thickBot="1" x14ac:dyDescent="0.25">
      <c r="A46" s="536"/>
      <c r="B46" s="547"/>
      <c r="C46" s="514" t="s">
        <v>39</v>
      </c>
      <c r="D46" s="504"/>
      <c r="E46" s="504"/>
      <c r="F46" s="504"/>
      <c r="G46" s="505"/>
    </row>
    <row r="47" spans="1:7" ht="82.5" customHeight="1" thickBot="1" x14ac:dyDescent="0.25">
      <c r="A47" s="536"/>
      <c r="B47" s="547"/>
      <c r="C47" s="314" t="s">
        <v>38</v>
      </c>
      <c r="D47" s="355" t="s">
        <v>37</v>
      </c>
      <c r="E47" s="310" t="s">
        <v>140</v>
      </c>
      <c r="F47" s="434"/>
      <c r="G47" s="309" t="s">
        <v>140</v>
      </c>
    </row>
    <row r="48" spans="1:7" ht="15.75" hidden="1" customHeight="1" thickBot="1" x14ac:dyDescent="0.25">
      <c r="A48" s="536"/>
      <c r="B48" s="547"/>
      <c r="C48" s="171"/>
      <c r="D48" s="171"/>
      <c r="E48" s="353"/>
      <c r="F48" s="39"/>
      <c r="G48" s="171"/>
    </row>
    <row r="49" spans="1:7" ht="22.5" customHeight="1" thickBot="1" x14ac:dyDescent="0.25">
      <c r="A49" s="536"/>
      <c r="B49" s="547"/>
      <c r="C49" s="526" t="s">
        <v>36</v>
      </c>
      <c r="D49" s="526"/>
      <c r="E49" s="526"/>
      <c r="F49" s="526"/>
      <c r="G49" s="527"/>
    </row>
    <row r="50" spans="1:7" ht="64.5" thickBot="1" x14ac:dyDescent="0.25">
      <c r="A50" s="537"/>
      <c r="B50" s="548"/>
      <c r="C50" s="451" t="s">
        <v>137</v>
      </c>
      <c r="D50" s="442" t="s">
        <v>12</v>
      </c>
      <c r="E50" s="390">
        <v>2</v>
      </c>
      <c r="F50" s="390">
        <f>28125+25875</f>
        <v>54000</v>
      </c>
      <c r="G50" s="443" t="s">
        <v>165</v>
      </c>
    </row>
    <row r="51" spans="1:7" ht="15" hidden="1" thickBot="1" x14ac:dyDescent="0.25">
      <c r="A51" s="191"/>
      <c r="B51" s="192"/>
      <c r="C51" s="435" t="s">
        <v>2</v>
      </c>
      <c r="D51" s="436"/>
      <c r="E51" s="302"/>
      <c r="F51" s="302">
        <f>SUM(F50:F50)</f>
        <v>54000</v>
      </c>
      <c r="G51" s="437"/>
    </row>
    <row r="52" spans="1:7" ht="15" hidden="1" thickBot="1" x14ac:dyDescent="0.25">
      <c r="A52" s="528" t="s">
        <v>1</v>
      </c>
      <c r="B52" s="529"/>
      <c r="C52" s="530"/>
      <c r="D52" s="530"/>
      <c r="E52" s="459"/>
      <c r="F52" s="452">
        <f>F11+F17+F30+F33+F45+F48+F51+F36</f>
        <v>132792.93315</v>
      </c>
      <c r="G52" s="531"/>
    </row>
    <row r="53" spans="1:7" ht="15.75" hidden="1" customHeight="1" thickBot="1" x14ac:dyDescent="0.25">
      <c r="A53" s="533" t="s">
        <v>0</v>
      </c>
      <c r="B53" s="534"/>
      <c r="C53" s="534"/>
      <c r="D53" s="534"/>
      <c r="E53" s="460"/>
      <c r="F53" s="453"/>
      <c r="G53" s="532"/>
    </row>
    <row r="54" spans="1:7" x14ac:dyDescent="0.2">
      <c r="F54" s="3">
        <v>1088205</v>
      </c>
    </row>
    <row r="55" spans="1:7" x14ac:dyDescent="0.2">
      <c r="F55" s="2">
        <f>F54-F52</f>
        <v>955412.06685000006</v>
      </c>
    </row>
    <row r="57" spans="1:7" x14ac:dyDescent="0.2">
      <c r="F57" s="3"/>
    </row>
    <row r="58" spans="1:7" x14ac:dyDescent="0.2">
      <c r="F58" s="2"/>
    </row>
  </sheetData>
  <mergeCells count="20">
    <mergeCell ref="A8:A50"/>
    <mergeCell ref="B8:B20"/>
    <mergeCell ref="C8:G8"/>
    <mergeCell ref="C9:G9"/>
    <mergeCell ref="C12:G12"/>
    <mergeCell ref="C18:G18"/>
    <mergeCell ref="B21:B50"/>
    <mergeCell ref="C21:G21"/>
    <mergeCell ref="C22:G22"/>
    <mergeCell ref="C31:G31"/>
    <mergeCell ref="A52:D52"/>
    <mergeCell ref="E52:E53"/>
    <mergeCell ref="F52:F53"/>
    <mergeCell ref="G52:G53"/>
    <mergeCell ref="A53:D53"/>
    <mergeCell ref="C34:G34"/>
    <mergeCell ref="C37:G37"/>
    <mergeCell ref="C46:G46"/>
    <mergeCell ref="C49:G49"/>
    <mergeCell ref="D4:G4"/>
  </mergeCells>
  <pageMargins left="0.70866141732283472" right="0.70866141732283472" top="0.74803149606299213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cp:lastPrinted>2019-11-05T09:46:42Z</cp:lastPrinted>
  <dcterms:created xsi:type="dcterms:W3CDTF">2019-10-24T10:27:02Z</dcterms:created>
  <dcterms:modified xsi:type="dcterms:W3CDTF">2019-11-05T09:47:27Z</dcterms:modified>
</cp:coreProperties>
</file>