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 tabRatio="706" activeTab="5"/>
  </bookViews>
  <sheets>
    <sheet name="Приложение 1" sheetId="2" r:id="rId1"/>
    <sheet name="Приложение 2 АЛЕНУШКА" sheetId="3" r:id="rId2"/>
    <sheet name="Приложение 4 ДШИ " sheetId="5" r:id="rId3"/>
    <sheet name="Приложение 5 ДЮСШ" sheetId="6" r:id="rId4"/>
    <sheet name="Приложение 6 СЮТ" sheetId="8" r:id="rId5"/>
    <sheet name="Приложение 7 ДК" sheetId="9" r:id="rId6"/>
  </sheets>
  <calcPr calcId="145621" refMode="R1C1"/>
</workbook>
</file>

<file path=xl/calcChain.xml><?xml version="1.0" encoding="utf-8"?>
<calcChain xmlns="http://schemas.openxmlformats.org/spreadsheetml/2006/main">
  <c r="O25" i="3" l="1"/>
  <c r="N25" i="3"/>
  <c r="F25" i="3"/>
  <c r="E25" i="3"/>
  <c r="Q25" i="3"/>
  <c r="R25" i="3"/>
  <c r="P25" i="3"/>
  <c r="R21" i="3"/>
  <c r="R22" i="3"/>
  <c r="R23" i="3"/>
  <c r="R24" i="3"/>
  <c r="R20" i="3"/>
  <c r="F24" i="9" l="1"/>
  <c r="Q24" i="9"/>
  <c r="R19" i="9"/>
  <c r="R20" i="9"/>
  <c r="R21" i="9"/>
  <c r="R24" i="9" s="1"/>
  <c r="R22" i="9"/>
  <c r="R23" i="9"/>
  <c r="R18" i="9"/>
  <c r="B25" i="3" l="1"/>
  <c r="R27" i="5" l="1"/>
  <c r="Q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27" i="5"/>
  <c r="N26" i="5"/>
  <c r="O26" i="5" s="1"/>
  <c r="F26" i="5"/>
  <c r="E26" i="5"/>
  <c r="P26" i="5" s="1"/>
  <c r="R26" i="5" s="1"/>
  <c r="M24" i="5"/>
  <c r="K24" i="5"/>
  <c r="J24" i="5"/>
  <c r="H24" i="5"/>
  <c r="G24" i="5"/>
  <c r="N24" i="5" s="1"/>
  <c r="O24" i="5" s="1"/>
  <c r="D24" i="5"/>
  <c r="C24" i="5"/>
  <c r="E24" i="5" s="1"/>
  <c r="B24" i="5"/>
  <c r="M25" i="5"/>
  <c r="K25" i="5"/>
  <c r="J25" i="5"/>
  <c r="H25" i="5"/>
  <c r="G25" i="5"/>
  <c r="N25" i="5" s="1"/>
  <c r="O25" i="5" s="1"/>
  <c r="D25" i="5"/>
  <c r="C25" i="5"/>
  <c r="E25" i="5" s="1"/>
  <c r="B25" i="5"/>
  <c r="M23" i="5"/>
  <c r="K23" i="5"/>
  <c r="J23" i="5"/>
  <c r="H23" i="5"/>
  <c r="G23" i="5"/>
  <c r="N23" i="5" s="1"/>
  <c r="O23" i="5" s="1"/>
  <c r="E23" i="5"/>
  <c r="P23" i="5" s="1"/>
  <c r="R23" i="5" s="1"/>
  <c r="D23" i="5"/>
  <c r="C23" i="5"/>
  <c r="B23" i="5"/>
  <c r="M22" i="5"/>
  <c r="K22" i="5"/>
  <c r="J22" i="5"/>
  <c r="H22" i="5"/>
  <c r="G22" i="5"/>
  <c r="N22" i="5" s="1"/>
  <c r="O22" i="5" s="1"/>
  <c r="D22" i="5"/>
  <c r="C22" i="5"/>
  <c r="E22" i="5" s="1"/>
  <c r="B22" i="5"/>
  <c r="M21" i="5"/>
  <c r="K21" i="5"/>
  <c r="J21" i="5"/>
  <c r="H21" i="5"/>
  <c r="G21" i="5"/>
  <c r="N21" i="5" s="1"/>
  <c r="O21" i="5" s="1"/>
  <c r="E21" i="5"/>
  <c r="D21" i="5"/>
  <c r="C21" i="5"/>
  <c r="B21" i="5"/>
  <c r="M20" i="5"/>
  <c r="K20" i="5"/>
  <c r="J20" i="5"/>
  <c r="H20" i="5"/>
  <c r="G20" i="5"/>
  <c r="N20" i="5" s="1"/>
  <c r="O20" i="5" s="1"/>
  <c r="D20" i="5"/>
  <c r="C20" i="5"/>
  <c r="E20" i="5" s="1"/>
  <c r="B20" i="5"/>
  <c r="P24" i="5" l="1"/>
  <c r="R24" i="5" s="1"/>
  <c r="F24" i="5"/>
  <c r="P21" i="5"/>
  <c r="R21" i="5" s="1"/>
  <c r="P25" i="5"/>
  <c r="R25" i="5" s="1"/>
  <c r="F25" i="5"/>
  <c r="P20" i="5"/>
  <c r="R20" i="5" s="1"/>
  <c r="F20" i="5"/>
  <c r="P22" i="5"/>
  <c r="R22" i="5" s="1"/>
  <c r="F22" i="5"/>
  <c r="F21" i="5"/>
  <c r="F23" i="5"/>
  <c r="R21" i="6"/>
  <c r="R20" i="6"/>
  <c r="O21" i="6"/>
  <c r="O20" i="6"/>
  <c r="F21" i="6"/>
  <c r="F20" i="6"/>
  <c r="O22" i="6"/>
  <c r="P22" i="6"/>
  <c r="E22" i="6"/>
  <c r="R22" i="6" l="1"/>
  <c r="F22" i="6"/>
  <c r="N21" i="6" l="1"/>
  <c r="E21" i="6"/>
  <c r="P21" i="6" s="1"/>
  <c r="N20" i="6"/>
  <c r="E20" i="6"/>
  <c r="P20" i="6" l="1"/>
  <c r="R21" i="2" l="1"/>
  <c r="R22" i="2"/>
  <c r="R28" i="2"/>
  <c r="R29" i="2"/>
  <c r="R20" i="2"/>
  <c r="O21" i="2"/>
  <c r="O22" i="2"/>
  <c r="O23" i="2"/>
  <c r="O24" i="2"/>
  <c r="O25" i="2"/>
  <c r="O26" i="2"/>
  <c r="O27" i="2"/>
  <c r="O28" i="2"/>
  <c r="O29" i="2"/>
  <c r="O20" i="2"/>
  <c r="F21" i="2"/>
  <c r="F22" i="2"/>
  <c r="F23" i="2"/>
  <c r="R23" i="2" s="1"/>
  <c r="F24" i="2"/>
  <c r="R24" i="2" s="1"/>
  <c r="F25" i="2"/>
  <c r="R25" i="2" s="1"/>
  <c r="F26" i="2"/>
  <c r="R26" i="2" s="1"/>
  <c r="F27" i="2"/>
  <c r="R27" i="2" s="1"/>
  <c r="F28" i="2"/>
  <c r="F29" i="2"/>
  <c r="F20" i="2"/>
  <c r="O30" i="2" l="1"/>
  <c r="F30" i="2"/>
  <c r="Q30" i="2"/>
  <c r="R30" i="2"/>
  <c r="B21" i="8" l="1"/>
  <c r="O24" i="9"/>
  <c r="P24" i="9"/>
  <c r="H24" i="9"/>
  <c r="I24" i="9"/>
  <c r="J24" i="9"/>
  <c r="K24" i="9"/>
  <c r="L24" i="9"/>
  <c r="M24" i="9"/>
  <c r="N24" i="9"/>
  <c r="G24" i="9"/>
  <c r="B24" i="9"/>
  <c r="C24" i="9"/>
  <c r="D24" i="9"/>
  <c r="E24" i="9"/>
  <c r="K30" i="2" l="1"/>
  <c r="J30" i="2"/>
  <c r="C30" i="2"/>
  <c r="I30" i="2"/>
  <c r="B30" i="2"/>
  <c r="D30" i="2"/>
  <c r="H30" i="2"/>
  <c r="L30" i="2"/>
  <c r="M30" i="2"/>
  <c r="G30" i="2" l="1"/>
  <c r="E30" i="2"/>
  <c r="N30" i="2" l="1"/>
  <c r="P30" i="2" l="1"/>
  <c r="D25" i="3" l="1"/>
  <c r="C25" i="3" l="1"/>
  <c r="L25" i="3" l="1"/>
  <c r="I25" i="3"/>
  <c r="M25" i="3"/>
  <c r="K25" i="3"/>
  <c r="J25" i="3"/>
  <c r="H25" i="3"/>
  <c r="G25" i="3"/>
  <c r="Q21" i="8" l="1"/>
  <c r="L21" i="8"/>
  <c r="I21" i="8"/>
  <c r="M21" i="8"/>
  <c r="K21" i="8"/>
  <c r="J21" i="8"/>
  <c r="H21" i="8"/>
  <c r="G21" i="8"/>
  <c r="D21" i="8"/>
  <c r="C21" i="8"/>
  <c r="L22" i="6"/>
  <c r="I22" i="6"/>
  <c r="M22" i="6"/>
  <c r="K22" i="6"/>
  <c r="J22" i="6"/>
  <c r="H22" i="6"/>
  <c r="G22" i="6"/>
  <c r="D22" i="6"/>
  <c r="C22" i="6"/>
  <c r="B22" i="6"/>
  <c r="R21" i="8" l="1"/>
  <c r="P21" i="8"/>
  <c r="E21" i="8"/>
  <c r="F21" i="8" s="1"/>
  <c r="N21" i="8"/>
  <c r="O21" i="8" s="1"/>
  <c r="N22" i="6"/>
</calcChain>
</file>

<file path=xl/sharedStrings.xml><?xml version="1.0" encoding="utf-8"?>
<sst xmlns="http://schemas.openxmlformats.org/spreadsheetml/2006/main" count="330" uniqueCount="107">
  <si>
    <t>Наименование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</si>
  <si>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</si>
  <si>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</si>
  <si>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</si>
  <si>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</si>
  <si>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t xml:space="preserve">Очередной финансовый год </t>
  </si>
  <si>
    <t>ИТОГО</t>
  </si>
  <si>
    <t>тыс.руб.</t>
  </si>
  <si>
    <t>РАСЧЕТ НОРМАТИВНЫХ ЗАТРАТ, СВЯЗАННЫХ С ОКАЗАНИЕМ МУНИЦИПАЛЬНЫХ УСЛУГ</t>
  </si>
  <si>
    <t xml:space="preserve">                  </t>
  </si>
  <si>
    <t>Муниципальным казенное учреждением дополнительного образования Станция юных техников</t>
  </si>
  <si>
    <t>Наименование муниципальной услуги (работы)</t>
  </si>
  <si>
    <t>Коммунальные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</si>
  <si>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</si>
  <si>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</si>
  <si>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</si>
  <si>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</si>
  <si>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</si>
  <si>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</si>
  <si>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</si>
  <si>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t>(гр.5+гр.14)</t>
  </si>
  <si>
    <t>-</t>
  </si>
  <si>
    <t>%
гр.5/гр.16</t>
  </si>
  <si>
    <t>%
гр.14/гр.16</t>
  </si>
  <si>
    <t>Нормативные затраты на единицу оказания муниципальной услуги</t>
  </si>
  <si>
    <t>единиц
(чел.-час)</t>
  </si>
  <si>
    <t>тыс.руб. 
на
единицу</t>
  </si>
  <si>
    <t xml:space="preserve">единиц
</t>
  </si>
  <si>
    <t xml:space="preserve">
гр.5/гр.17</t>
  </si>
  <si>
    <t xml:space="preserve">
гр.14/гр.17</t>
  </si>
  <si>
    <t>%
гр.5/гр.17</t>
  </si>
  <si>
    <t>%
гр.14/гр.17</t>
  </si>
  <si>
    <t>Нормативные затраты на единицу оказания муниципальной услуги 5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</si>
  <si>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Liberation Serif"/>
        <family val="1"/>
        <charset val="204"/>
      </rPr>
      <t>1</t>
    </r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</si>
  <si>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2</t>
    </r>
    <r>
      <rPr>
        <sz val="8"/>
        <color theme="1"/>
        <rFont val="Liberation Serif"/>
        <family val="1"/>
        <charset val="204"/>
      </rPr>
      <t xml:space="preserve"> </t>
    </r>
  </si>
  <si>
    <r>
      <t>Оплата труда с начисленими на выплаты по оплате труда</t>
    </r>
    <r>
      <rPr>
        <vertAlign val="superscript"/>
        <sz val="10"/>
        <color theme="1"/>
        <rFont val="Liberation Serif"/>
        <family val="1"/>
        <charset val="204"/>
      </rPr>
      <t>3</t>
    </r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</si>
  <si>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4</t>
    </r>
  </si>
  <si>
    <r>
      <t>1.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Liberation Serif"/>
        <family val="1"/>
        <charset val="204"/>
      </rPr>
      <t>.</t>
    </r>
  </si>
  <si>
    <r>
      <t>2.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 5 = гр.2+гр.3+гр.4</t>
    </r>
  </si>
  <si>
    <r>
      <t>3.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персоналу  не занятому непосредственно в процессе оказания муниципальных услуг.</t>
    </r>
  </si>
  <si>
    <r>
      <t>4.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 14 = гр.7+гр.8+гр.9+гр.10+гр.11+гр.12+гр.13</t>
    </r>
  </si>
  <si>
    <r>
      <t>5.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Гр.16/гр.17.</t>
    </r>
  </si>
  <si>
    <t>Услуга: Реализация основных общеобразовательных программ  начального общего образования
(801012О.99.0.БА81АЦ60001)</t>
  </si>
  <si>
    <t>Услуга: Реализация основных общеобразовательных программ  основного общего образования
(802111О.99.0.БА96АЧ08001)</t>
  </si>
  <si>
    <t>Услуга:Реализация основных общеобразовательных программ среднего общего образования (802112О.99.0.ББ11АЧ08001)</t>
  </si>
  <si>
    <t>Реализация дополнительных общеразвивающих программ (804200О.99.0.ББ52АЖ48000)</t>
  </si>
  <si>
    <t>Реализация дополнительных общеразвивающих программ (804200О.99.0.ББ52АЕ52000)</t>
  </si>
  <si>
    <t>Организация отдыха детей и молодежи (920700О.99.0.АЗ22АА00001)</t>
  </si>
  <si>
    <t xml:space="preserve"> </t>
  </si>
  <si>
    <t>городского округа ЗАТО Свободный</t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</si>
  <si>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2</t>
    </r>
    <r>
      <rPr>
        <sz val="10"/>
        <color theme="1"/>
        <rFont val="Liberation Serif"/>
        <family val="1"/>
        <charset val="204"/>
      </rPr>
      <t xml:space="preserve"> </t>
    </r>
  </si>
  <si>
    <r>
      <t xml:space="preserve">1.        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Liberation Serif"/>
        <family val="1"/>
        <charset val="204"/>
      </rPr>
      <t>.</t>
    </r>
  </si>
  <si>
    <r>
      <t xml:space="preserve">2.         </t>
    </r>
    <r>
      <rPr>
        <sz val="10"/>
        <color theme="1"/>
        <rFont val="Liberation Serif"/>
        <family val="1"/>
        <charset val="204"/>
      </rPr>
      <t>Гр. 5 = гр.2+гр.3+гр.4</t>
    </r>
  </si>
  <si>
    <r>
      <t xml:space="preserve">3.        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персоналу  не занятому непосредственно в процессе оказания муниципальных услуг.</t>
    </r>
  </si>
  <si>
    <r>
      <t xml:space="preserve">4.         </t>
    </r>
    <r>
      <rPr>
        <sz val="10"/>
        <color theme="1"/>
        <rFont val="Liberation Serif"/>
        <family val="1"/>
        <charset val="204"/>
      </rPr>
      <t>Гр. 12 = гр.7+гр.8+гр.9+гр.10+гр.11.</t>
    </r>
  </si>
  <si>
    <r>
      <t xml:space="preserve">5.         </t>
    </r>
    <r>
      <rPr>
        <sz val="10"/>
        <color theme="1"/>
        <rFont val="Liberation Serif"/>
        <family val="1"/>
        <charset val="204"/>
      </rPr>
      <t>Гр.14+гр.17.</t>
    </r>
  </si>
  <si>
    <r>
      <t xml:space="preserve">6.         </t>
    </r>
    <r>
      <rPr>
        <sz val="10"/>
        <color theme="1"/>
        <rFont val="Liberation Serif"/>
        <family val="1"/>
        <charset val="204"/>
      </rPr>
      <t>Гр.18/гр.15.</t>
    </r>
  </si>
  <si>
    <t xml:space="preserve">РАСЧЕТ  НОРМАТИВНЫХ ЗАТРАТ, СВЯЗАННЫХ С ОКАЗАНИЕМ МУНИЦИПАЛЬНЫХ УСЛУГ 
                                      на 2022 год </t>
  </si>
  <si>
    <t xml:space="preserve">Нормативные затраты на единицу оказания муниципальной услуги </t>
  </si>
  <si>
    <t>Затраты на оплату труда и начисления на выплаты по оплате труда1</t>
  </si>
  <si>
    <t>Оплата труда и начисления на выплаты по оплате труда3</t>
  </si>
  <si>
    <t>Содержание особо ценного движимого имущества</t>
  </si>
  <si>
    <t>Прочие затраты на общехозяйственные нужды</t>
  </si>
  <si>
    <t>единиц</t>
  </si>
  <si>
    <t>тыс.руб.  
на единицу</t>
  </si>
  <si>
    <t>ИТОГО:</t>
  </si>
  <si>
    <t>Итого затраты учреждения на оказание муниципальных услуг (гр.5+гр.14)</t>
  </si>
  <si>
    <t>от «___» декабря 2022 года №______</t>
  </si>
  <si>
    <t>Муниципальным бюджетным общеобразовательным учреждением «Средняя школа № 25 им. Героя Советского Союза генерал-лейтенанта 
Д.М. Карбышева с кадетскими классами»</t>
  </si>
  <si>
    <t>Муниципальным бюджетным дошкольным образовательным учреждением «Детский сад № 17 «Алёнушка»</t>
  </si>
  <si>
    <t>Муниципальным бюджетным учреждением дополнительного образования «Детская школа искусств»</t>
  </si>
  <si>
    <t>Муниципальным бюджетным учреждением дополнительного образования «Детско-юношеская спортивная школа»</t>
  </si>
  <si>
    <t>Муниципальное бюджетное учреждение культуры Дворец культуры «Свободный»</t>
  </si>
  <si>
    <t>Организация деятельности клубных формирований и формирований самодеятельного народного творчества (949916О.99.0.ББ78АА00003)</t>
  </si>
  <si>
    <t xml:space="preserve"> Библиотечное, библиографическое и информационное обслуживание
пользователей библиотеки (910100О.99.0.ББ83АА00000)</t>
  </si>
  <si>
    <t>Организация и проведение мероприятий (900400О.99.0.ББ72АА00000)</t>
  </si>
  <si>
    <t>Формирование, учет, изучение, обеспечение физического сохранения и 
безопасности фондов библиотек, включая оцифровку фондов (910000.Р.68.1.13830001000)</t>
  </si>
  <si>
    <t xml:space="preserve">Библиографическая обработка документов и создание каталогов (910000.Р.68.1.13830001000)
</t>
  </si>
  <si>
    <t>постановлением администрации</t>
  </si>
  <si>
    <t>УТВЕРЖДЕН</t>
  </si>
  <si>
    <r>
      <t>ВСЕГО</t>
    </r>
    <r>
      <rPr>
        <vertAlign val="superscript"/>
        <sz val="12"/>
        <color theme="1"/>
        <rFont val="Liberation Serif"/>
        <family val="1"/>
        <charset val="204"/>
      </rPr>
      <t>2</t>
    </r>
    <r>
      <rPr>
        <sz val="12"/>
        <color theme="1"/>
        <rFont val="Liberation Serif"/>
        <family val="1"/>
        <charset val="204"/>
      </rPr>
      <t xml:space="preserve"> </t>
    </r>
  </si>
  <si>
    <r>
      <t>ВСЕГО</t>
    </r>
    <r>
      <rPr>
        <vertAlign val="superscript"/>
        <sz val="12"/>
        <color theme="1"/>
        <rFont val="Liberation Serif"/>
        <family val="1"/>
        <charset val="204"/>
      </rPr>
      <t>4</t>
    </r>
  </si>
  <si>
    <r>
      <t xml:space="preserve">1.         </t>
    </r>
    <r>
      <rPr>
        <sz val="12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Liberation Serif"/>
        <family val="1"/>
        <charset val="204"/>
      </rPr>
      <t>персонала непосредственно участвующего в оказании муниципальной услуги</t>
    </r>
    <r>
      <rPr>
        <sz val="12"/>
        <color theme="1"/>
        <rFont val="Liberation Serif"/>
        <family val="1"/>
        <charset val="204"/>
      </rPr>
      <t>.</t>
    </r>
  </si>
  <si>
    <r>
      <t xml:space="preserve">2.         </t>
    </r>
    <r>
      <rPr>
        <sz val="12"/>
        <color theme="1"/>
        <rFont val="Liberation Serif"/>
        <family val="1"/>
        <charset val="204"/>
      </rPr>
      <t>Гр. 5 = гр.2+гр.3+гр.4</t>
    </r>
  </si>
  <si>
    <r>
      <t xml:space="preserve">3.         </t>
    </r>
    <r>
      <rPr>
        <sz val="12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Liberation Serif"/>
        <family val="1"/>
        <charset val="204"/>
      </rPr>
      <t>персоналу  не занятому непосредственно в процессе оказания муниципальных услуг.</t>
    </r>
  </si>
  <si>
    <r>
      <t xml:space="preserve">4.                  </t>
    </r>
    <r>
      <rPr>
        <sz val="12"/>
        <color theme="1"/>
        <rFont val="Liberation Serif"/>
        <family val="1"/>
        <charset val="204"/>
      </rPr>
      <t>Гр. 14 = гр.7+гр.8+гр.9+гр.10+гр.11+гр.12+гр.13</t>
    </r>
  </si>
  <si>
    <r>
      <t xml:space="preserve">5.                  </t>
    </r>
    <r>
      <rPr>
        <sz val="12"/>
        <color theme="1"/>
        <rFont val="Liberation Serif"/>
        <family val="1"/>
        <charset val="204"/>
      </rPr>
      <t>Гр.16/гр.17.</t>
    </r>
  </si>
  <si>
    <t>Услуга: Реализация адаптированных основных общеобразовательных программ начального общего образования (обучающиеся, с задержкой психического развития)
(801012О.99.0.БА82АЛ78001)</t>
  </si>
  <si>
    <t xml:space="preserve">Услуга: Реализация основных общеобразовательных программ  основного общего образования (адаптированная программа)
(802111О.99.0.БА96АА00001) </t>
  </si>
  <si>
    <t>Услуга: Организация отдыха детей и молодежи (в каникулярное время с дневным пребыванием)
(920700О.99.0.АЗ22АА01001)</t>
  </si>
  <si>
    <t>Услуга: Организация отдыха детей и молодежи (в каникулярное время с круглосуточным пребыванием) (920700О.99.0.АЗ22АА00001)</t>
  </si>
  <si>
    <t>Услуга:Предоставление питания (для обучающиеся 1-4 классов) (560200О.99.0.БА89АА00000)</t>
  </si>
  <si>
    <t>Услуга:Предоставление питания (для обучающиеся 5-9 классов) (560200О.99.0.ББ03АА00000)</t>
  </si>
  <si>
    <t>Услуга:Предоставление питания (для обучающиеся 10-11 классов) (560200О.99.0.ББ18АА00000)</t>
  </si>
  <si>
    <t>Присмотр и уход  (от 3 лет до 8 лет)
(853211О.99.0.БВ19АА56000)</t>
  </si>
  <si>
    <t>Присмотр и уход  (от 1 года до 3 лет)
(853211О.99.0.БВ19АА50000)</t>
  </si>
  <si>
    <t>Реализация основных общеобразовательных программ дошкольного образования (адаптированная программа от 3 лет до 8 лет)
(801011О.99.0.БВ24АВ42000)</t>
  </si>
  <si>
    <t>Реализация основных общеобразовательных программ дошкольного образования (от 3 лет до 8 лет) (801011О.99.0.БВ24ВУ42000)</t>
  </si>
  <si>
    <t>Реализация основных общеобразовательных программ дошкольного образованияот (1 года до 3 лет) (801011О.99.0.БВ24ВТ22000)</t>
  </si>
  <si>
    <t xml:space="preserve">Реализация дополнительных общеобразовательных предпрофессиональных программ в области искусств
(духовые и ударные инструменты) (802112О.99.0.ББ55АБ36000) </t>
  </si>
  <si>
    <t>Реализация дополнительных общеобразовательных предпрофессиональных программ в области искусств (Струнные инструменты) (802112О.99.0.ББ55АА80000)</t>
  </si>
  <si>
    <t>Реализация дополнительных общеобразовательных предпрофессиональных программ в области искусств 
(Фортепиано) (802112О.99.0.ББ55АА24000)</t>
  </si>
  <si>
    <t>Реализация дополнительных общеобразовательных предпрофессиональных программ в области искусств 
 (Народные инструменты) (802112О.99.0.ББ55АБ92000)</t>
  </si>
  <si>
    <t>Реализация дополнительных общеобразовательных предпрофессиональных программ в области искусств 
 (Хореографическое творчество) (802112О.99.0.ББ55АЕ84000)</t>
  </si>
  <si>
    <t>Реализация дополнительных общеобразовательных предпрофессиональных программ в области искусств 
 (Декоративно-прикладное творчество) (802112О.99.0.ББ55АД72000)</t>
  </si>
  <si>
    <t>Реализация дополнительных общеразвивающих программ (804200О.99.0.ББ52АЕ04000)</t>
  </si>
  <si>
    <t xml:space="preserve">Показ (организация показа) концертных программ                   (900100О.99.0.ББ81АА00000)  (стационар) (900100О.99.0.ББ81АА01000)  (на выезде)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</si>
</sst>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0.0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  <font>
      <vertAlign val="superscript"/>
      <sz val="11"/>
      <color theme="1"/>
      <name val="Liberation Serif"/>
      <family val="1"/>
      <charset val="204"/>
    </font>
    <font>
      <vertAlign val="superscript"/>
      <sz val="10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vertAlign val="superscript"/>
      <sz val="7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26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6"/>
      <color theme="1"/>
      <name val="Liberation Serif"/>
      <family val="1"/>
      <charset val="204"/>
    </font>
    <font>
      <vertAlign val="superscript"/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51">
    <xf numFmtId="0" fontId="0" fillId="0" borderId="0" xfId="0"/>
    <xf numFmtId="2" fontId="0" fillId="0" borderId="0" xfId="0" applyNumberFormat="1"/>
    <xf numFmtId="2" fontId="1" fillId="2" borderId="17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40" xfId="0" applyFont="1" applyBorder="1" applyAlignment="1">
      <alignment vertical="top" wrapText="1"/>
    </xf>
    <xf numFmtId="0" fontId="3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42" xfId="0" applyFont="1" applyBorder="1"/>
    <xf numFmtId="0" fontId="3" fillId="0" borderId="20" xfId="0" applyFont="1" applyBorder="1"/>
    <xf numFmtId="43" fontId="5" fillId="2" borderId="45" xfId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3" fontId="5" fillId="2" borderId="23" xfId="1" applyNumberFormat="1" applyFont="1" applyFill="1" applyBorder="1" applyAlignment="1">
      <alignment horizontal="center" vertical="center" wrapText="1"/>
    </xf>
    <xf numFmtId="43" fontId="5" fillId="0" borderId="23" xfId="1" applyNumberFormat="1" applyFont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 wrapText="1"/>
    </xf>
    <xf numFmtId="43" fontId="5" fillId="0" borderId="23" xfId="1" applyNumberFormat="1" applyFont="1" applyBorder="1" applyAlignment="1">
      <alignment horizontal="center" vertical="center" wrapText="1"/>
    </xf>
    <xf numFmtId="164" fontId="5" fillId="0" borderId="44" xfId="1" applyNumberFormat="1" applyFont="1" applyBorder="1" applyAlignment="1">
      <alignment vertical="center" wrapText="1"/>
    </xf>
    <xf numFmtId="43" fontId="5" fillId="0" borderId="24" xfId="1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indent="2"/>
    </xf>
    <xf numFmtId="0" fontId="5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5" fillId="2" borderId="51" xfId="1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4" fillId="0" borderId="0" xfId="0" applyFont="1" applyAlignment="1">
      <alignment horizontal="left"/>
    </xf>
    <xf numFmtId="0" fontId="5" fillId="0" borderId="46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3" fontId="5" fillId="2" borderId="25" xfId="1" applyFont="1" applyFill="1" applyBorder="1" applyAlignment="1">
      <alignment horizontal="center" vertical="center" wrapText="1"/>
    </xf>
    <xf numFmtId="2" fontId="5" fillId="2" borderId="25" xfId="1" applyNumberFormat="1" applyFont="1" applyFill="1" applyBorder="1" applyAlignment="1">
      <alignment horizontal="center" vertical="center" wrapText="1"/>
    </xf>
    <xf numFmtId="43" fontId="5" fillId="2" borderId="25" xfId="1" applyFont="1" applyFill="1" applyBorder="1" applyAlignment="1">
      <alignment horizontal="center" vertical="center"/>
    </xf>
    <xf numFmtId="2" fontId="5" fillId="2" borderId="25" xfId="1" applyNumberFormat="1" applyFont="1" applyFill="1" applyBorder="1" applyAlignment="1">
      <alignment horizontal="center" vertical="center"/>
    </xf>
    <xf numFmtId="164" fontId="5" fillId="2" borderId="50" xfId="1" applyNumberFormat="1" applyFont="1" applyFill="1" applyBorder="1" applyAlignment="1">
      <alignment vertical="center"/>
    </xf>
    <xf numFmtId="43" fontId="5" fillId="2" borderId="26" xfId="1" applyNumberFormat="1" applyFont="1" applyFill="1" applyBorder="1" applyAlignment="1">
      <alignment vertical="center"/>
    </xf>
    <xf numFmtId="2" fontId="3" fillId="2" borderId="0" xfId="0" applyNumberFormat="1" applyFont="1" applyFill="1"/>
    <xf numFmtId="0" fontId="3" fillId="2" borderId="0" xfId="0" applyFont="1" applyFill="1"/>
    <xf numFmtId="0" fontId="10" fillId="2" borderId="17" xfId="0" applyFont="1" applyFill="1" applyBorder="1" applyAlignment="1">
      <alignment horizontal="center" wrapText="1"/>
    </xf>
    <xf numFmtId="2" fontId="5" fillId="2" borderId="17" xfId="1" applyNumberFormat="1" applyFont="1" applyFill="1" applyBorder="1" applyAlignment="1">
      <alignment horizontal="center" vertical="center" wrapText="1"/>
    </xf>
    <xf numFmtId="164" fontId="5" fillId="2" borderId="43" xfId="1" applyNumberFormat="1" applyFont="1" applyFill="1" applyBorder="1" applyAlignment="1">
      <alignment vertical="center" wrapText="1"/>
    </xf>
    <xf numFmtId="0" fontId="14" fillId="2" borderId="27" xfId="0" applyFont="1" applyFill="1" applyBorder="1" applyAlignment="1">
      <alignment horizontal="center" wrapText="1"/>
    </xf>
    <xf numFmtId="43" fontId="5" fillId="2" borderId="45" xfId="1" applyFont="1" applyFill="1" applyBorder="1" applyAlignment="1">
      <alignment horizontal="center" vertical="center"/>
    </xf>
    <xf numFmtId="164" fontId="5" fillId="2" borderId="47" xfId="1" applyNumberFormat="1" applyFont="1" applyFill="1" applyBorder="1" applyAlignment="1">
      <alignment vertical="center" wrapText="1"/>
    </xf>
    <xf numFmtId="2" fontId="1" fillId="2" borderId="25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43" fontId="16" fillId="0" borderId="25" xfId="1" applyFont="1" applyBorder="1" applyAlignment="1">
      <alignment horizontal="center" vertical="center" wrapText="1"/>
    </xf>
    <xf numFmtId="2" fontId="16" fillId="0" borderId="25" xfId="1" applyNumberFormat="1" applyFont="1" applyBorder="1" applyAlignment="1">
      <alignment horizontal="center" vertical="center" wrapText="1"/>
    </xf>
    <xf numFmtId="43" fontId="16" fillId="0" borderId="25" xfId="1" applyFont="1" applyBorder="1" applyAlignment="1">
      <alignment horizontal="center" vertical="center"/>
    </xf>
    <xf numFmtId="2" fontId="16" fillId="0" borderId="17" xfId="1" applyNumberFormat="1" applyFont="1" applyBorder="1" applyAlignment="1">
      <alignment horizontal="center" vertical="center" wrapText="1"/>
    </xf>
    <xf numFmtId="43" fontId="16" fillId="0" borderId="26" xfId="1" applyFont="1" applyBorder="1" applyAlignment="1">
      <alignment horizontal="center" vertical="center"/>
    </xf>
    <xf numFmtId="2" fontId="16" fillId="0" borderId="45" xfId="1" applyNumberFormat="1" applyFont="1" applyBorder="1" applyAlignment="1">
      <alignment horizontal="center" vertical="center" wrapText="1"/>
    </xf>
    <xf numFmtId="43" fontId="16" fillId="0" borderId="45" xfId="1" applyFont="1" applyBorder="1" applyAlignment="1">
      <alignment horizontal="center" vertical="center"/>
    </xf>
    <xf numFmtId="43" fontId="16" fillId="0" borderId="28" xfId="1" applyFont="1" applyBorder="1" applyAlignment="1">
      <alignment horizontal="center" vertical="center"/>
    </xf>
    <xf numFmtId="2" fontId="16" fillId="0" borderId="25" xfId="1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3" fontId="1" fillId="0" borderId="45" xfId="1" applyFont="1" applyBorder="1" applyAlignment="1">
      <alignment horizontal="center" vertical="center" wrapText="1"/>
    </xf>
    <xf numFmtId="43" fontId="1" fillId="0" borderId="45" xfId="1" applyFont="1" applyBorder="1" applyAlignment="1">
      <alignment horizontal="center" vertical="center"/>
    </xf>
    <xf numFmtId="43" fontId="1" fillId="0" borderId="28" xfId="1" applyFont="1" applyBorder="1" applyAlignment="1">
      <alignment horizontal="center" vertical="center"/>
    </xf>
    <xf numFmtId="2" fontId="1" fillId="0" borderId="45" xfId="1" applyNumberFormat="1" applyFont="1" applyBorder="1" applyAlignment="1">
      <alignment horizontal="center" vertical="center" wrapText="1"/>
    </xf>
    <xf numFmtId="164" fontId="1" fillId="0" borderId="47" xfId="1" applyNumberFormat="1" applyFont="1" applyBorder="1" applyAlignment="1">
      <alignment vertical="center" wrapText="1"/>
    </xf>
    <xf numFmtId="43" fontId="1" fillId="0" borderId="29" xfId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Alignment="1"/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top" wrapText="1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42" xfId="0" applyFont="1" applyBorder="1"/>
    <xf numFmtId="0" fontId="5" fillId="0" borderId="20" xfId="0" applyFont="1" applyBorder="1"/>
    <xf numFmtId="0" fontId="13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3" fontId="1" fillId="2" borderId="25" xfId="1" applyFont="1" applyFill="1" applyBorder="1" applyAlignment="1">
      <alignment horizontal="center" vertical="center" wrapText="1"/>
    </xf>
    <xf numFmtId="43" fontId="1" fillId="2" borderId="25" xfId="1" applyFont="1" applyFill="1" applyBorder="1" applyAlignment="1">
      <alignment horizontal="center" vertical="center"/>
    </xf>
    <xf numFmtId="164" fontId="1" fillId="2" borderId="50" xfId="1" applyNumberFormat="1" applyFont="1" applyFill="1" applyBorder="1" applyAlignment="1">
      <alignment vertical="center"/>
    </xf>
    <xf numFmtId="164" fontId="1" fillId="2" borderId="43" xfId="1" applyNumberFormat="1" applyFont="1" applyFill="1" applyBorder="1" applyAlignment="1">
      <alignment vertical="center" wrapText="1"/>
    </xf>
    <xf numFmtId="0" fontId="5" fillId="0" borderId="0" xfId="0" applyFont="1"/>
    <xf numFmtId="0" fontId="13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53" xfId="0" applyFont="1" applyBorder="1"/>
    <xf numFmtId="0" fontId="3" fillId="0" borderId="54" xfId="0" applyFont="1" applyBorder="1"/>
    <xf numFmtId="0" fontId="3" fillId="0" borderId="48" xfId="0" applyFont="1" applyBorder="1"/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vertical="center"/>
    </xf>
    <xf numFmtId="2" fontId="5" fillId="0" borderId="56" xfId="0" applyNumberFormat="1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3" fontId="16" fillId="0" borderId="45" xfId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5" fillId="0" borderId="66" xfId="0" applyFont="1" applyBorder="1" applyAlignment="1">
      <alignment horizontal="center" vertical="center" wrapText="1"/>
    </xf>
    <xf numFmtId="0" fontId="4" fillId="0" borderId="0" xfId="2" applyFont="1"/>
    <xf numFmtId="0" fontId="4" fillId="0" borderId="7" xfId="2" applyFont="1" applyBorder="1"/>
    <xf numFmtId="0" fontId="4" fillId="0" borderId="7" xfId="2" applyFont="1" applyBorder="1" applyAlignment="1">
      <alignment horizontal="center"/>
    </xf>
    <xf numFmtId="0" fontId="4" fillId="0" borderId="7" xfId="2" applyFont="1" applyBorder="1" applyAlignment="1">
      <alignment horizontal="center" wrapText="1"/>
    </xf>
    <xf numFmtId="0" fontId="4" fillId="0" borderId="10" xfId="2" applyFont="1" applyBorder="1" applyAlignment="1">
      <alignment horizontal="center"/>
    </xf>
    <xf numFmtId="0" fontId="4" fillId="0" borderId="17" xfId="2" applyFont="1" applyBorder="1" applyAlignment="1">
      <alignment horizontal="center" wrapText="1"/>
    </xf>
    <xf numFmtId="0" fontId="4" fillId="0" borderId="15" xfId="2" applyFont="1" applyBorder="1" applyAlignment="1">
      <alignment horizontal="center"/>
    </xf>
    <xf numFmtId="0" fontId="4" fillId="0" borderId="63" xfId="2" applyFont="1" applyBorder="1" applyAlignment="1">
      <alignment horizontal="center"/>
    </xf>
    <xf numFmtId="0" fontId="20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19" xfId="2" applyFont="1" applyBorder="1"/>
    <xf numFmtId="0" fontId="4" fillId="0" borderId="64" xfId="2" applyFont="1" applyBorder="1" applyAlignment="1">
      <alignment horizontal="left" vertical="center" wrapText="1"/>
    </xf>
    <xf numFmtId="2" fontId="4" fillId="0" borderId="0" xfId="0" applyNumberFormat="1" applyFont="1"/>
    <xf numFmtId="2" fontId="4" fillId="0" borderId="17" xfId="2" applyNumberFormat="1" applyFont="1" applyBorder="1" applyAlignment="1">
      <alignment horizontal="left" vertical="center" wrapText="1"/>
    </xf>
    <xf numFmtId="0" fontId="4" fillId="2" borderId="17" xfId="2" applyFont="1" applyFill="1" applyBorder="1" applyAlignment="1">
      <alignment horizontal="center" vertical="center" wrapText="1"/>
    </xf>
    <xf numFmtId="4" fontId="20" fillId="2" borderId="28" xfId="2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 vertical="center" indent="2"/>
    </xf>
    <xf numFmtId="2" fontId="4" fillId="2" borderId="0" xfId="2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167" fontId="16" fillId="0" borderId="43" xfId="1" applyNumberFormat="1" applyFont="1" applyBorder="1" applyAlignment="1">
      <alignment horizontal="center" vertical="center" wrapText="1"/>
    </xf>
    <xf numFmtId="167" fontId="16" fillId="0" borderId="47" xfId="1" applyNumberFormat="1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43" fontId="1" fillId="2" borderId="26" xfId="1" applyFont="1" applyFill="1" applyBorder="1" applyAlignment="1">
      <alignment vertical="center"/>
    </xf>
    <xf numFmtId="43" fontId="1" fillId="2" borderId="45" xfId="1" applyFont="1" applyFill="1" applyBorder="1" applyAlignment="1">
      <alignment horizontal="center" vertical="center" wrapText="1"/>
    </xf>
    <xf numFmtId="43" fontId="1" fillId="2" borderId="45" xfId="1" applyFont="1" applyFill="1" applyBorder="1" applyAlignment="1">
      <alignment horizontal="center" vertical="center"/>
    </xf>
    <xf numFmtId="2" fontId="1" fillId="2" borderId="45" xfId="1" applyNumberFormat="1" applyFont="1" applyFill="1" applyBorder="1" applyAlignment="1">
      <alignment horizontal="center" vertical="center" wrapText="1"/>
    </xf>
    <xf numFmtId="43" fontId="1" fillId="2" borderId="28" xfId="1" applyFont="1" applyFill="1" applyBorder="1" applyAlignment="1">
      <alignment horizontal="center" vertical="center"/>
    </xf>
    <xf numFmtId="164" fontId="1" fillId="2" borderId="47" xfId="1" applyNumberFormat="1" applyFont="1" applyFill="1" applyBorder="1" applyAlignment="1">
      <alignment vertical="center" wrapText="1"/>
    </xf>
    <xf numFmtId="43" fontId="5" fillId="2" borderId="23" xfId="1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8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8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/>
    <xf numFmtId="0" fontId="4" fillId="0" borderId="0" xfId="0" applyFont="1"/>
    <xf numFmtId="0" fontId="4" fillId="0" borderId="65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60" xfId="2" applyFont="1" applyBorder="1" applyAlignment="1">
      <alignment horizontal="center" vertical="center" wrapText="1"/>
    </xf>
    <xf numFmtId="0" fontId="4" fillId="0" borderId="61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7"/>
  <sheetViews>
    <sheetView zoomScaleNormal="100" workbookViewId="0">
      <selection activeCell="D23" sqref="D23"/>
    </sheetView>
  </sheetViews>
  <sheetFormatPr defaultRowHeight="15" x14ac:dyDescent="0.25"/>
  <cols>
    <col min="1" max="1" width="42.28515625" customWidth="1"/>
    <col min="2" max="2" width="12.140625" customWidth="1"/>
    <col min="3" max="3" width="10.42578125" customWidth="1"/>
    <col min="5" max="5" width="12.28515625" customWidth="1"/>
    <col min="6" max="6" width="10" customWidth="1"/>
    <col min="7" max="7" width="10.42578125" customWidth="1"/>
    <col min="8" max="8" width="11.42578125" customWidth="1"/>
    <col min="9" max="9" width="11.140625" customWidth="1"/>
    <col min="14" max="14" width="10" customWidth="1"/>
    <col min="15" max="15" width="9.7109375" customWidth="1"/>
    <col min="16" max="16" width="14.28515625" customWidth="1"/>
    <col min="17" max="17" width="10" bestFit="1" customWidth="1"/>
    <col min="18" max="18" width="11.28515625" customWidth="1"/>
  </cols>
  <sheetData>
    <row r="1" spans="1:24" s="3" customFormat="1" ht="33" x14ac:dyDescent="0.4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s="3" customFormat="1" ht="14.25" x14ac:dyDescent="0.2"/>
    <row r="3" spans="1:24" ht="18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71"/>
      <c r="M3" s="71"/>
      <c r="N3" s="71"/>
      <c r="O3" s="112" t="s">
        <v>79</v>
      </c>
      <c r="P3" s="112"/>
      <c r="Q3" s="112"/>
      <c r="R3" s="112"/>
      <c r="S3" s="72"/>
    </row>
    <row r="4" spans="1:24" ht="18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71"/>
      <c r="M4" s="71"/>
      <c r="N4" s="71"/>
      <c r="O4" s="158" t="s">
        <v>78</v>
      </c>
      <c r="P4" s="158"/>
      <c r="Q4" s="158"/>
      <c r="R4" s="158"/>
      <c r="S4" s="72"/>
    </row>
    <row r="5" spans="1:24" ht="18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71"/>
      <c r="M5" s="71"/>
      <c r="N5" s="71"/>
      <c r="O5" s="158" t="s">
        <v>49</v>
      </c>
      <c r="P5" s="158"/>
      <c r="Q5" s="158"/>
      <c r="R5" s="158"/>
      <c r="S5" s="72"/>
    </row>
    <row r="6" spans="1:24" ht="18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71"/>
      <c r="M6" s="71"/>
      <c r="N6" s="71"/>
      <c r="O6" s="157" t="s">
        <v>67</v>
      </c>
      <c r="P6" s="157"/>
      <c r="Q6" s="157"/>
      <c r="R6" s="157"/>
      <c r="S6" s="72"/>
    </row>
    <row r="7" spans="1:24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24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24" ht="18" x14ac:dyDescent="0.25">
      <c r="A9" s="154" t="s">
        <v>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4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24" ht="45" customHeight="1" x14ac:dyDescent="0.25">
      <c r="A11" s="155" t="s">
        <v>68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24" ht="19.5" customHeight="1" thickBot="1" x14ac:dyDescent="0.3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24" ht="15.75" hidden="1" thickBot="1" x14ac:dyDescent="0.3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24" ht="102.75" customHeight="1" thickBot="1" x14ac:dyDescent="0.3">
      <c r="A14" s="167" t="s">
        <v>11</v>
      </c>
      <c r="B14" s="169" t="s">
        <v>13</v>
      </c>
      <c r="C14" s="170"/>
      <c r="D14" s="170"/>
      <c r="E14" s="170"/>
      <c r="F14" s="170"/>
      <c r="G14" s="175" t="s">
        <v>14</v>
      </c>
      <c r="H14" s="176"/>
      <c r="I14" s="176"/>
      <c r="J14" s="176"/>
      <c r="K14" s="176"/>
      <c r="L14" s="176"/>
      <c r="M14" s="176"/>
      <c r="N14" s="176"/>
      <c r="O14" s="177"/>
      <c r="P14" s="61" t="s">
        <v>1</v>
      </c>
      <c r="Q14" s="171" t="s">
        <v>2</v>
      </c>
      <c r="R14" s="159" t="s">
        <v>24</v>
      </c>
    </row>
    <row r="15" spans="1:24" ht="25.5" customHeight="1" x14ac:dyDescent="0.25">
      <c r="A15" s="168"/>
      <c r="B15" s="161" t="s">
        <v>33</v>
      </c>
      <c r="C15" s="161" t="s">
        <v>3</v>
      </c>
      <c r="D15" s="161" t="s">
        <v>4</v>
      </c>
      <c r="E15" s="163" t="s">
        <v>34</v>
      </c>
      <c r="F15" s="164"/>
      <c r="G15" s="165" t="s">
        <v>35</v>
      </c>
      <c r="H15" s="162" t="s">
        <v>12</v>
      </c>
      <c r="I15" s="162" t="s">
        <v>15</v>
      </c>
      <c r="J15" s="162" t="s">
        <v>16</v>
      </c>
      <c r="K15" s="165" t="s">
        <v>17</v>
      </c>
      <c r="L15" s="173" t="s">
        <v>18</v>
      </c>
      <c r="M15" s="178" t="s">
        <v>19</v>
      </c>
      <c r="N15" s="180" t="s">
        <v>36</v>
      </c>
      <c r="O15" s="181"/>
      <c r="P15" s="62" t="s">
        <v>20</v>
      </c>
      <c r="Q15" s="165"/>
      <c r="R15" s="160"/>
    </row>
    <row r="16" spans="1:24" ht="121.5" customHeight="1" thickBot="1" x14ac:dyDescent="0.3">
      <c r="A16" s="168"/>
      <c r="B16" s="162"/>
      <c r="C16" s="162"/>
      <c r="D16" s="162"/>
      <c r="E16" s="165"/>
      <c r="F16" s="166"/>
      <c r="G16" s="165"/>
      <c r="H16" s="162"/>
      <c r="I16" s="162"/>
      <c r="J16" s="162"/>
      <c r="K16" s="165"/>
      <c r="L16" s="174"/>
      <c r="M16" s="179"/>
      <c r="N16" s="182"/>
      <c r="O16" s="183"/>
      <c r="P16" s="5"/>
      <c r="Q16" s="172"/>
      <c r="R16" s="160"/>
    </row>
    <row r="17" spans="1:20" ht="36.75" customHeight="1" thickBot="1" x14ac:dyDescent="0.3">
      <c r="A17" s="77"/>
      <c r="B17" s="7" t="s">
        <v>7</v>
      </c>
      <c r="C17" s="7" t="s">
        <v>7</v>
      </c>
      <c r="D17" s="7" t="s">
        <v>7</v>
      </c>
      <c r="E17" s="7" t="s">
        <v>7</v>
      </c>
      <c r="F17" s="8" t="s">
        <v>28</v>
      </c>
      <c r="G17" s="7" t="s">
        <v>7</v>
      </c>
      <c r="H17" s="7" t="s">
        <v>7</v>
      </c>
      <c r="I17" s="7" t="s">
        <v>7</v>
      </c>
      <c r="J17" s="7" t="s">
        <v>7</v>
      </c>
      <c r="K17" s="7" t="s">
        <v>7</v>
      </c>
      <c r="L17" s="7" t="s">
        <v>7</v>
      </c>
      <c r="M17" s="7" t="s">
        <v>7</v>
      </c>
      <c r="N17" s="7" t="s">
        <v>7</v>
      </c>
      <c r="O17" s="8" t="s">
        <v>29</v>
      </c>
      <c r="P17" s="9" t="s">
        <v>7</v>
      </c>
      <c r="Q17" s="10" t="s">
        <v>27</v>
      </c>
      <c r="R17" s="8" t="s">
        <v>26</v>
      </c>
    </row>
    <row r="18" spans="1:20" ht="19.5" customHeight="1" thickBot="1" x14ac:dyDescent="0.3">
      <c r="A18" s="82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  <c r="O18" s="11">
        <v>15</v>
      </c>
      <c r="P18" s="11">
        <v>16</v>
      </c>
      <c r="Q18" s="12">
        <v>17</v>
      </c>
      <c r="R18" s="13">
        <v>18</v>
      </c>
    </row>
    <row r="19" spans="1:20" ht="16.5" customHeight="1" thickBot="1" x14ac:dyDescent="0.3">
      <c r="A19" s="97" t="s">
        <v>5</v>
      </c>
      <c r="B19" s="98"/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0"/>
      <c r="R19" s="101"/>
    </row>
    <row r="20" spans="1:20" ht="51" x14ac:dyDescent="0.25">
      <c r="A20" s="141" t="s">
        <v>42</v>
      </c>
      <c r="B20" s="102">
        <v>27744.817255274393</v>
      </c>
      <c r="C20" s="102">
        <v>2067.2090060975606</v>
      </c>
      <c r="D20" s="102">
        <v>0</v>
      </c>
      <c r="E20" s="103">
        <v>29812.026261371953</v>
      </c>
      <c r="F20" s="104">
        <f>E20/Q20</f>
        <v>61.72262165915518</v>
      </c>
      <c r="G20" s="102">
        <v>17915.562854481705</v>
      </c>
      <c r="H20" s="105">
        <v>2110.7009982704167</v>
      </c>
      <c r="I20" s="105">
        <v>356.55596706271621</v>
      </c>
      <c r="J20" s="105">
        <v>42.300813008130085</v>
      </c>
      <c r="K20" s="105">
        <v>84.890040650406505</v>
      </c>
      <c r="L20" s="105">
        <v>0</v>
      </c>
      <c r="M20" s="105">
        <v>1064.8901104695738</v>
      </c>
      <c r="N20" s="105">
        <v>21574.900783942943</v>
      </c>
      <c r="O20" s="106">
        <f>N20/Q20</f>
        <v>44.668531643774209</v>
      </c>
      <c r="P20" s="105">
        <v>51386.927045314893</v>
      </c>
      <c r="Q20" s="105">
        <v>483</v>
      </c>
      <c r="R20" s="105">
        <f>F20+O20</f>
        <v>106.39115330292938</v>
      </c>
      <c r="S20" s="1"/>
      <c r="T20" s="1"/>
    </row>
    <row r="21" spans="1:20" ht="63.75" x14ac:dyDescent="0.25">
      <c r="A21" s="107" t="s">
        <v>87</v>
      </c>
      <c r="B21" s="102">
        <v>879.85678399390247</v>
      </c>
      <c r="C21" s="102">
        <v>65.556310975609762</v>
      </c>
      <c r="D21" s="102">
        <v>0</v>
      </c>
      <c r="E21" s="103">
        <v>945.41309496951226</v>
      </c>
      <c r="F21" s="104">
        <f t="shared" ref="F21:F29" si="0">E21/Q21</f>
        <v>85.94664499722839</v>
      </c>
      <c r="G21" s="102">
        <v>568.14681356707308</v>
      </c>
      <c r="H21" s="105">
        <v>66.935549628025896</v>
      </c>
      <c r="I21" s="105">
        <v>11.307271682749985</v>
      </c>
      <c r="J21" s="105">
        <v>1.3414634146341464</v>
      </c>
      <c r="K21" s="105">
        <v>2.6920731707317072</v>
      </c>
      <c r="L21" s="105">
        <v>0</v>
      </c>
      <c r="M21" s="105">
        <v>33.770299486350112</v>
      </c>
      <c r="N21" s="105">
        <v>684.19347094956504</v>
      </c>
      <c r="O21" s="106">
        <f t="shared" ref="O21:O29" si="1">N21/Q21</f>
        <v>62.199406449960456</v>
      </c>
      <c r="P21" s="105">
        <v>1629.6065659190772</v>
      </c>
      <c r="Q21" s="105">
        <v>11</v>
      </c>
      <c r="R21" s="105">
        <f t="shared" ref="R21:R29" si="2">F21+O21</f>
        <v>148.14605144718885</v>
      </c>
      <c r="S21" s="1"/>
      <c r="T21" s="1"/>
    </row>
    <row r="22" spans="1:20" ht="51.75" customHeight="1" x14ac:dyDescent="0.25">
      <c r="A22" s="107" t="s">
        <v>43</v>
      </c>
      <c r="B22" s="102">
        <v>24635.98995182927</v>
      </c>
      <c r="C22" s="102">
        <v>1835.5767073170732</v>
      </c>
      <c r="D22" s="102">
        <v>0</v>
      </c>
      <c r="E22" s="103">
        <v>26471.566659146341</v>
      </c>
      <c r="F22" s="104">
        <f t="shared" si="0"/>
        <v>63.027539664634148</v>
      </c>
      <c r="G22" s="102">
        <v>15908.110779878047</v>
      </c>
      <c r="H22" s="105">
        <v>1720.0214715376092</v>
      </c>
      <c r="I22" s="105">
        <v>290.5593542881133</v>
      </c>
      <c r="J22" s="105">
        <v>37.560975609756099</v>
      </c>
      <c r="K22" s="105">
        <v>75.378048780487802</v>
      </c>
      <c r="L22" s="105">
        <v>0</v>
      </c>
      <c r="M22" s="105">
        <v>928.35207221474207</v>
      </c>
      <c r="N22" s="105">
        <v>18959.982702308753</v>
      </c>
      <c r="O22" s="106">
        <f t="shared" si="1"/>
        <v>45.142815957877986</v>
      </c>
      <c r="P22" s="105">
        <v>45431.549361455094</v>
      </c>
      <c r="Q22" s="105">
        <v>420</v>
      </c>
      <c r="R22" s="105">
        <f t="shared" si="2"/>
        <v>108.17035562251213</v>
      </c>
      <c r="S22" s="1"/>
      <c r="T22" s="1"/>
    </row>
    <row r="23" spans="1:20" ht="68.25" customHeight="1" x14ac:dyDescent="0.25">
      <c r="A23" s="107" t="s">
        <v>88</v>
      </c>
      <c r="B23" s="102">
        <v>762.5425461280488</v>
      </c>
      <c r="C23" s="102">
        <v>56.815469512195122</v>
      </c>
      <c r="D23" s="102">
        <v>0</v>
      </c>
      <c r="E23" s="103">
        <v>819.35801564024393</v>
      </c>
      <c r="F23" s="104">
        <f t="shared" si="0"/>
        <v>74.487092330931262</v>
      </c>
      <c r="G23" s="102">
        <v>492.39390509146335</v>
      </c>
      <c r="H23" s="105">
        <v>53.23875983330695</v>
      </c>
      <c r="I23" s="105">
        <v>8.9935038232035076</v>
      </c>
      <c r="J23" s="105">
        <v>1.1626016260162604</v>
      </c>
      <c r="K23" s="105">
        <v>2.3331300813008129</v>
      </c>
      <c r="L23" s="105">
        <v>0</v>
      </c>
      <c r="M23" s="105">
        <v>28.73470699712297</v>
      </c>
      <c r="N23" s="105">
        <v>586.85660745241387</v>
      </c>
      <c r="O23" s="106">
        <f t="shared" si="1"/>
        <v>53.350600677492167</v>
      </c>
      <c r="P23" s="105">
        <v>1406.2146230926578</v>
      </c>
      <c r="Q23" s="105">
        <v>11</v>
      </c>
      <c r="R23" s="105">
        <f t="shared" si="2"/>
        <v>127.83769300842343</v>
      </c>
      <c r="S23" s="1"/>
      <c r="T23" s="1"/>
    </row>
    <row r="24" spans="1:20" ht="58.5" customHeight="1" x14ac:dyDescent="0.25">
      <c r="A24" s="108" t="s">
        <v>44</v>
      </c>
      <c r="B24" s="102">
        <v>3695.39849277439</v>
      </c>
      <c r="C24" s="102">
        <v>275.33650609756097</v>
      </c>
      <c r="D24" s="102">
        <v>0</v>
      </c>
      <c r="E24" s="103">
        <v>3970.7349988719511</v>
      </c>
      <c r="F24" s="104">
        <f t="shared" si="0"/>
        <v>76.36028843984522</v>
      </c>
      <c r="G24" s="102">
        <v>2386.2166169817069</v>
      </c>
      <c r="H24" s="105">
        <v>258.00322073064137</v>
      </c>
      <c r="I24" s="105">
        <v>43.583903143216993</v>
      </c>
      <c r="J24" s="105">
        <v>5.6341463414634152</v>
      </c>
      <c r="K24" s="105">
        <v>11.306707317073171</v>
      </c>
      <c r="L24" s="105">
        <v>0</v>
      </c>
      <c r="M24" s="105">
        <v>139.25281083221128</v>
      </c>
      <c r="N24" s="105">
        <v>2843.9974053463129</v>
      </c>
      <c r="O24" s="106">
        <f t="shared" si="1"/>
        <v>54.6922577951214</v>
      </c>
      <c r="P24" s="105">
        <v>6814.7324042182645</v>
      </c>
      <c r="Q24" s="105">
        <v>52</v>
      </c>
      <c r="R24" s="105">
        <f t="shared" si="2"/>
        <v>131.05254623496663</v>
      </c>
      <c r="S24" s="1"/>
      <c r="T24" s="1"/>
    </row>
    <row r="25" spans="1:20" ht="38.25" x14ac:dyDescent="0.25">
      <c r="A25" s="108" t="s">
        <v>91</v>
      </c>
      <c r="B25" s="102">
        <v>3232.1712926829268</v>
      </c>
      <c r="C25" s="102">
        <v>2247.6620406504062</v>
      </c>
      <c r="D25" s="102">
        <v>0</v>
      </c>
      <c r="E25" s="103">
        <v>5479.833333333333</v>
      </c>
      <c r="F25" s="104">
        <f t="shared" si="0"/>
        <v>11.092780026990553</v>
      </c>
      <c r="G25" s="102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f t="shared" si="1"/>
        <v>0</v>
      </c>
      <c r="P25" s="105">
        <v>5479.833333333333</v>
      </c>
      <c r="Q25" s="105">
        <v>494</v>
      </c>
      <c r="R25" s="105">
        <f t="shared" si="2"/>
        <v>11.092780026990553</v>
      </c>
      <c r="S25" s="1"/>
      <c r="T25" s="1"/>
    </row>
    <row r="26" spans="1:20" ht="38.25" x14ac:dyDescent="0.25">
      <c r="A26" s="108" t="s">
        <v>92</v>
      </c>
      <c r="B26" s="102">
        <v>2867.8896920731704</v>
      </c>
      <c r="C26" s="102">
        <v>1994.3394745934959</v>
      </c>
      <c r="D26" s="102">
        <v>0</v>
      </c>
      <c r="E26" s="103">
        <v>4862.2291666666661</v>
      </c>
      <c r="F26" s="104">
        <f t="shared" si="0"/>
        <v>12.531518470790376</v>
      </c>
      <c r="G26" s="102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f t="shared" si="1"/>
        <v>0</v>
      </c>
      <c r="P26" s="105">
        <v>4862.2291666666661</v>
      </c>
      <c r="Q26" s="105">
        <v>388</v>
      </c>
      <c r="R26" s="105">
        <f t="shared" si="2"/>
        <v>12.531518470790376</v>
      </c>
      <c r="S26" s="1"/>
      <c r="T26" s="1"/>
    </row>
    <row r="27" spans="1:20" ht="38.25" x14ac:dyDescent="0.25">
      <c r="A27" s="108" t="s">
        <v>93</v>
      </c>
      <c r="B27" s="102">
        <v>417.26801524390243</v>
      </c>
      <c r="C27" s="102">
        <v>290.16948475609757</v>
      </c>
      <c r="D27" s="102">
        <v>0</v>
      </c>
      <c r="E27" s="103">
        <v>707.4375</v>
      </c>
      <c r="F27" s="104">
        <f t="shared" si="0"/>
        <v>15.05186170212766</v>
      </c>
      <c r="G27" s="102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f t="shared" si="1"/>
        <v>0</v>
      </c>
      <c r="P27" s="105">
        <v>707.4375</v>
      </c>
      <c r="Q27" s="105">
        <v>47</v>
      </c>
      <c r="R27" s="105">
        <f t="shared" si="2"/>
        <v>15.05186170212766</v>
      </c>
      <c r="S27" s="1"/>
      <c r="T27" s="1"/>
    </row>
    <row r="28" spans="1:20" ht="38.25" x14ac:dyDescent="0.25">
      <c r="A28" s="108" t="s">
        <v>89</v>
      </c>
      <c r="B28" s="102">
        <v>0</v>
      </c>
      <c r="C28" s="102">
        <v>892.13699999999994</v>
      </c>
      <c r="D28" s="102">
        <v>0</v>
      </c>
      <c r="E28" s="103">
        <v>892.13699999999994</v>
      </c>
      <c r="F28" s="104">
        <f t="shared" si="0"/>
        <v>3.9650533333333331</v>
      </c>
      <c r="G28" s="102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6">
        <f t="shared" si="1"/>
        <v>0</v>
      </c>
      <c r="P28" s="105">
        <v>892.13699999999994</v>
      </c>
      <c r="Q28" s="105">
        <v>225</v>
      </c>
      <c r="R28" s="105">
        <f t="shared" si="2"/>
        <v>3.9650533333333331</v>
      </c>
      <c r="S28" s="1"/>
      <c r="T28" s="1"/>
    </row>
    <row r="29" spans="1:20" ht="39" thickBot="1" x14ac:dyDescent="0.3">
      <c r="A29" s="109" t="s">
        <v>90</v>
      </c>
      <c r="B29" s="102">
        <v>0</v>
      </c>
      <c r="C29" s="102">
        <v>0</v>
      </c>
      <c r="D29" s="102">
        <v>0</v>
      </c>
      <c r="E29" s="103">
        <v>0</v>
      </c>
      <c r="F29" s="104">
        <f t="shared" si="0"/>
        <v>0</v>
      </c>
      <c r="G29" s="102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458.64</v>
      </c>
      <c r="N29" s="105">
        <v>458.64</v>
      </c>
      <c r="O29" s="106">
        <f t="shared" si="1"/>
        <v>22.931999999999999</v>
      </c>
      <c r="P29" s="105">
        <v>458.64</v>
      </c>
      <c r="Q29" s="105">
        <v>20</v>
      </c>
      <c r="R29" s="105">
        <f t="shared" si="2"/>
        <v>22.931999999999999</v>
      </c>
      <c r="S29" s="1"/>
      <c r="T29" s="1"/>
    </row>
    <row r="30" spans="1:20" ht="15.75" thickBot="1" x14ac:dyDescent="0.3">
      <c r="A30" s="73" t="s">
        <v>6</v>
      </c>
      <c r="B30" s="110">
        <f t="shared" ref="B30:G30" si="3">SUM(B20:B29)</f>
        <v>64235.934029999997</v>
      </c>
      <c r="C30" s="111">
        <f t="shared" si="3"/>
        <v>9724.8019999999997</v>
      </c>
      <c r="D30" s="111">
        <f t="shared" si="3"/>
        <v>0</v>
      </c>
      <c r="E30" s="111">
        <f t="shared" si="3"/>
        <v>73960.736030000015</v>
      </c>
      <c r="F30" s="111">
        <f t="shared" si="3"/>
        <v>404.18540062503621</v>
      </c>
      <c r="G30" s="111">
        <f t="shared" si="3"/>
        <v>37270.430969999994</v>
      </c>
      <c r="H30" s="111">
        <f t="shared" ref="H30:O30" si="4">SUM(H20:H29)</f>
        <v>4208.9000000000005</v>
      </c>
      <c r="I30" s="111">
        <f t="shared" si="4"/>
        <v>710.99999999999989</v>
      </c>
      <c r="J30" s="111">
        <f t="shared" si="4"/>
        <v>88.000000000000014</v>
      </c>
      <c r="K30" s="111">
        <f t="shared" si="4"/>
        <v>176.6</v>
      </c>
      <c r="L30" s="111">
        <f t="shared" si="4"/>
        <v>0</v>
      </c>
      <c r="M30" s="111">
        <f t="shared" si="4"/>
        <v>2653.64</v>
      </c>
      <c r="N30" s="111">
        <f t="shared" si="4"/>
        <v>45108.570969999993</v>
      </c>
      <c r="O30" s="111">
        <f t="shared" si="4"/>
        <v>282.98561252422621</v>
      </c>
      <c r="P30" s="111">
        <f>SUM(P20:P29)</f>
        <v>119069.30699999999</v>
      </c>
      <c r="Q30" s="111">
        <f>SUM(Q20:Q29)</f>
        <v>2151</v>
      </c>
      <c r="R30" s="138">
        <f>SUM(R20:R29)</f>
        <v>687.17101314926242</v>
      </c>
    </row>
    <row r="31" spans="1:20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20" x14ac:dyDescent="0.25">
      <c r="A32" s="28" t="s">
        <v>51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x14ac:dyDescent="0.25">
      <c r="A33" s="28" t="s">
        <v>52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x14ac:dyDescent="0.25">
      <c r="A34" s="28" t="s">
        <v>53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x14ac:dyDescent="0.25">
      <c r="A35" s="28" t="s">
        <v>54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x14ac:dyDescent="0.25">
      <c r="A36" s="28" t="s">
        <v>55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x14ac:dyDescent="0.25">
      <c r="A37" s="28" t="s">
        <v>56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</sheetData>
  <mergeCells count="23">
    <mergeCell ref="A14:A16"/>
    <mergeCell ref="B14:F14"/>
    <mergeCell ref="Q14:Q16"/>
    <mergeCell ref="L15:L16"/>
    <mergeCell ref="G14:O14"/>
    <mergeCell ref="M15:M16"/>
    <mergeCell ref="N15:O16"/>
    <mergeCell ref="R14:R16"/>
    <mergeCell ref="B15:B16"/>
    <mergeCell ref="C15:C16"/>
    <mergeCell ref="D15:D16"/>
    <mergeCell ref="E15:F16"/>
    <mergeCell ref="I15:I16"/>
    <mergeCell ref="J15:J16"/>
    <mergeCell ref="K15:K16"/>
    <mergeCell ref="H15:H16"/>
    <mergeCell ref="G15:G16"/>
    <mergeCell ref="A1:X1"/>
    <mergeCell ref="A9:R9"/>
    <mergeCell ref="A11:R11"/>
    <mergeCell ref="O6:R6"/>
    <mergeCell ref="O5:R5"/>
    <mergeCell ref="O4:R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3"/>
  <sheetViews>
    <sheetView topLeftCell="A7" zoomScale="86" zoomScaleNormal="86" workbookViewId="0">
      <selection activeCell="E33" sqref="E33"/>
    </sheetView>
  </sheetViews>
  <sheetFormatPr defaultRowHeight="14.25" x14ac:dyDescent="0.2"/>
  <cols>
    <col min="1" max="1" width="38" style="3" customWidth="1"/>
    <col min="2" max="2" width="11.28515625" style="3" customWidth="1"/>
    <col min="3" max="3" width="9.85546875" style="3" customWidth="1"/>
    <col min="4" max="4" width="9.140625" style="3"/>
    <col min="5" max="5" width="12" style="3" customWidth="1"/>
    <col min="6" max="6" width="10.85546875" style="3" customWidth="1"/>
    <col min="7" max="7" width="10.5703125" style="3" customWidth="1"/>
    <col min="8" max="13" width="9.140625" style="3"/>
    <col min="14" max="14" width="11.28515625" style="3" customWidth="1"/>
    <col min="15" max="15" width="11.42578125" style="3" customWidth="1"/>
    <col min="16" max="16" width="14.42578125" style="3" customWidth="1"/>
    <col min="17" max="17" width="10.5703125" style="3" customWidth="1"/>
    <col min="18" max="16384" width="9.140625" style="3"/>
  </cols>
  <sheetData>
    <row r="1" spans="1:24" ht="33" x14ac:dyDescent="0.4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51"/>
      <c r="X1" s="51"/>
    </row>
    <row r="3" spans="1:24" ht="18" customHeight="1" x14ac:dyDescent="0.25">
      <c r="K3" s="69"/>
      <c r="L3" s="69"/>
      <c r="M3" s="69"/>
      <c r="N3" s="69"/>
      <c r="O3" s="118" t="s">
        <v>79</v>
      </c>
      <c r="P3" s="114"/>
      <c r="Q3" s="114"/>
      <c r="R3" s="114"/>
    </row>
    <row r="4" spans="1:24" ht="18" customHeight="1" x14ac:dyDescent="0.25">
      <c r="K4" s="69"/>
      <c r="L4" s="69"/>
      <c r="M4" s="69"/>
      <c r="N4" s="69"/>
      <c r="O4" s="158" t="s">
        <v>78</v>
      </c>
      <c r="P4" s="158"/>
      <c r="Q4" s="158"/>
      <c r="R4" s="158"/>
    </row>
    <row r="5" spans="1:24" ht="18" customHeight="1" x14ac:dyDescent="0.25">
      <c r="K5" s="71"/>
      <c r="L5" s="71"/>
      <c r="M5" s="71"/>
      <c r="N5" s="69"/>
      <c r="O5" s="158" t="s">
        <v>49</v>
      </c>
      <c r="P5" s="158"/>
      <c r="Q5" s="158"/>
      <c r="R5" s="158"/>
    </row>
    <row r="6" spans="1:24" ht="18" customHeight="1" x14ac:dyDescent="0.25">
      <c r="K6" s="70"/>
      <c r="L6" s="70"/>
      <c r="M6" s="70"/>
      <c r="N6" s="69"/>
      <c r="O6" s="157" t="s">
        <v>67</v>
      </c>
      <c r="P6" s="157"/>
      <c r="Q6" s="157"/>
      <c r="R6" s="157"/>
    </row>
    <row r="9" spans="1:24" ht="18" x14ac:dyDescent="0.25">
      <c r="A9" s="154" t="s">
        <v>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4" ht="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4" ht="35.25" customHeight="1" x14ac:dyDescent="0.2">
      <c r="A11" s="156" t="s">
        <v>69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3" spans="1:24" ht="15" thickBot="1" x14ac:dyDescent="0.25"/>
    <row r="14" spans="1:24" ht="68.25" customHeight="1" thickBot="1" x14ac:dyDescent="0.25">
      <c r="A14" s="184" t="s">
        <v>0</v>
      </c>
      <c r="B14" s="169" t="s">
        <v>13</v>
      </c>
      <c r="C14" s="170"/>
      <c r="D14" s="170"/>
      <c r="E14" s="170"/>
      <c r="F14" s="170"/>
      <c r="G14" s="175" t="s">
        <v>14</v>
      </c>
      <c r="H14" s="176"/>
      <c r="I14" s="176"/>
      <c r="J14" s="176"/>
      <c r="K14" s="176"/>
      <c r="L14" s="176"/>
      <c r="M14" s="176"/>
      <c r="N14" s="176"/>
      <c r="O14" s="177"/>
      <c r="P14" s="61" t="s">
        <v>1</v>
      </c>
      <c r="Q14" s="171" t="s">
        <v>2</v>
      </c>
      <c r="R14" s="159" t="s">
        <v>32</v>
      </c>
    </row>
    <row r="15" spans="1:24" ht="22.5" customHeight="1" x14ac:dyDescent="0.2">
      <c r="A15" s="185"/>
      <c r="B15" s="161" t="s">
        <v>33</v>
      </c>
      <c r="C15" s="161" t="s">
        <v>3</v>
      </c>
      <c r="D15" s="161" t="s">
        <v>4</v>
      </c>
      <c r="E15" s="163" t="s">
        <v>34</v>
      </c>
      <c r="F15" s="164"/>
      <c r="G15" s="165" t="s">
        <v>35</v>
      </c>
      <c r="H15" s="162" t="s">
        <v>12</v>
      </c>
      <c r="I15" s="162" t="s">
        <v>15</v>
      </c>
      <c r="J15" s="162" t="s">
        <v>16</v>
      </c>
      <c r="K15" s="165" t="s">
        <v>17</v>
      </c>
      <c r="L15" s="173" t="s">
        <v>18</v>
      </c>
      <c r="M15" s="178" t="s">
        <v>19</v>
      </c>
      <c r="N15" s="180" t="s">
        <v>36</v>
      </c>
      <c r="O15" s="181"/>
      <c r="P15" s="62" t="s">
        <v>20</v>
      </c>
      <c r="Q15" s="165"/>
      <c r="R15" s="160"/>
    </row>
    <row r="16" spans="1:24" ht="68.25" customHeight="1" thickBot="1" x14ac:dyDescent="0.25">
      <c r="A16" s="185"/>
      <c r="B16" s="162"/>
      <c r="C16" s="162"/>
      <c r="D16" s="162"/>
      <c r="E16" s="165"/>
      <c r="F16" s="166"/>
      <c r="G16" s="165"/>
      <c r="H16" s="162"/>
      <c r="I16" s="162"/>
      <c r="J16" s="162"/>
      <c r="K16" s="165"/>
      <c r="L16" s="174"/>
      <c r="M16" s="179"/>
      <c r="N16" s="182"/>
      <c r="O16" s="183"/>
      <c r="P16" s="5"/>
      <c r="Q16" s="172"/>
      <c r="R16" s="160"/>
    </row>
    <row r="17" spans="1:20" ht="38.25" customHeight="1" thickBot="1" x14ac:dyDescent="0.25">
      <c r="A17" s="6"/>
      <c r="B17" s="7" t="s">
        <v>7</v>
      </c>
      <c r="C17" s="7" t="s">
        <v>7</v>
      </c>
      <c r="D17" s="7" t="s">
        <v>7</v>
      </c>
      <c r="E17" s="7" t="s">
        <v>7</v>
      </c>
      <c r="F17" s="8" t="s">
        <v>30</v>
      </c>
      <c r="G17" s="7" t="s">
        <v>7</v>
      </c>
      <c r="H17" s="7" t="s">
        <v>7</v>
      </c>
      <c r="I17" s="7" t="s">
        <v>7</v>
      </c>
      <c r="J17" s="7" t="s">
        <v>7</v>
      </c>
      <c r="K17" s="7" t="s">
        <v>7</v>
      </c>
      <c r="L17" s="7" t="s">
        <v>7</v>
      </c>
      <c r="M17" s="7" t="s">
        <v>7</v>
      </c>
      <c r="N17" s="7" t="s">
        <v>7</v>
      </c>
      <c r="O17" s="8" t="s">
        <v>31</v>
      </c>
      <c r="P17" s="9" t="s">
        <v>7</v>
      </c>
      <c r="Q17" s="10" t="s">
        <v>27</v>
      </c>
      <c r="R17" s="8" t="s">
        <v>26</v>
      </c>
    </row>
    <row r="18" spans="1:20" ht="19.5" customHeight="1" thickBot="1" x14ac:dyDescent="0.2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  <c r="O18" s="11">
        <v>15</v>
      </c>
      <c r="P18" s="11">
        <v>16</v>
      </c>
      <c r="Q18" s="12">
        <v>17</v>
      </c>
      <c r="R18" s="13">
        <v>18</v>
      </c>
    </row>
    <row r="19" spans="1:20" x14ac:dyDescent="0.2">
      <c r="A19" s="14" t="s">
        <v>5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8"/>
    </row>
    <row r="20" spans="1:20" s="43" customFormat="1" ht="38.25" customHeight="1" x14ac:dyDescent="0.2">
      <c r="A20" s="250" t="s">
        <v>98</v>
      </c>
      <c r="B20" s="36">
        <v>14405.54</v>
      </c>
      <c r="C20" s="36">
        <v>177.69</v>
      </c>
      <c r="D20" s="37">
        <v>31.73</v>
      </c>
      <c r="E20" s="38">
        <v>14614.970000000001</v>
      </c>
      <c r="F20" s="38">
        <v>132.86336363636366</v>
      </c>
      <c r="G20" s="39">
        <v>4045.5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4045.5</v>
      </c>
      <c r="O20" s="39">
        <v>36.777272727272724</v>
      </c>
      <c r="P20" s="38">
        <v>18660.47</v>
      </c>
      <c r="Q20" s="40">
        <v>110</v>
      </c>
      <c r="R20" s="41">
        <f>P20/Q20</f>
        <v>169.64063636363636</v>
      </c>
      <c r="S20" s="42"/>
      <c r="T20" s="42"/>
    </row>
    <row r="21" spans="1:20" s="43" customFormat="1" ht="52.5" customHeight="1" x14ac:dyDescent="0.2">
      <c r="A21" s="35" t="s">
        <v>97</v>
      </c>
      <c r="B21" s="36">
        <v>41907.040000000001</v>
      </c>
      <c r="C21" s="36">
        <v>516.91999999999996</v>
      </c>
      <c r="D21" s="37">
        <v>92.31</v>
      </c>
      <c r="E21" s="38">
        <v>42516.27</v>
      </c>
      <c r="F21" s="38">
        <v>132.86334374999998</v>
      </c>
      <c r="G21" s="39">
        <v>11768.75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11768.75</v>
      </c>
      <c r="O21" s="39">
        <v>36.77734375</v>
      </c>
      <c r="P21" s="38">
        <v>54285.02</v>
      </c>
      <c r="Q21" s="40">
        <v>320</v>
      </c>
      <c r="R21" s="41">
        <f t="shared" ref="R21:R24" si="0">P21/Q21</f>
        <v>169.64068749999998</v>
      </c>
      <c r="S21" s="42"/>
      <c r="T21" s="42"/>
    </row>
    <row r="22" spans="1:20" s="43" customFormat="1" ht="48" x14ac:dyDescent="0.2">
      <c r="A22" s="35" t="s">
        <v>96</v>
      </c>
      <c r="B22" s="36">
        <v>11786.35</v>
      </c>
      <c r="C22" s="36">
        <v>145.38999999999999</v>
      </c>
      <c r="D22" s="37">
        <v>25.96</v>
      </c>
      <c r="E22" s="38">
        <v>11957.699999999999</v>
      </c>
      <c r="F22" s="38">
        <v>132.86333333333332</v>
      </c>
      <c r="G22" s="39">
        <v>3309.96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3309.96</v>
      </c>
      <c r="O22" s="39">
        <v>36.777333333333331</v>
      </c>
      <c r="P22" s="38">
        <v>15267.66</v>
      </c>
      <c r="Q22" s="40">
        <v>90</v>
      </c>
      <c r="R22" s="41">
        <f t="shared" si="0"/>
        <v>169.64066666666668</v>
      </c>
    </row>
    <row r="23" spans="1:20" s="43" customFormat="1" ht="24" x14ac:dyDescent="0.2">
      <c r="A23" s="44" t="s">
        <v>95</v>
      </c>
      <c r="B23" s="37">
        <v>0</v>
      </c>
      <c r="C23" s="36">
        <v>211.31</v>
      </c>
      <c r="D23" s="37">
        <v>0</v>
      </c>
      <c r="E23" s="38">
        <v>211.31</v>
      </c>
      <c r="F23" s="38">
        <v>1.921</v>
      </c>
      <c r="G23" s="39">
        <v>4797.1899999999996</v>
      </c>
      <c r="H23" s="39">
        <v>1064.73</v>
      </c>
      <c r="I23" s="45">
        <v>465.38</v>
      </c>
      <c r="J23" s="39">
        <v>311.95</v>
      </c>
      <c r="K23" s="39">
        <v>70.53</v>
      </c>
      <c r="L23" s="45">
        <v>0</v>
      </c>
      <c r="M23" s="39">
        <v>305.14</v>
      </c>
      <c r="N23" s="39">
        <v>7014.92</v>
      </c>
      <c r="O23" s="39">
        <v>63.771999999999998</v>
      </c>
      <c r="P23" s="38">
        <v>7226.2300000000005</v>
      </c>
      <c r="Q23" s="46">
        <v>110</v>
      </c>
      <c r="R23" s="41">
        <f t="shared" si="0"/>
        <v>65.692999999999998</v>
      </c>
    </row>
    <row r="24" spans="1:20" s="43" customFormat="1" ht="24.75" thickBot="1" x14ac:dyDescent="0.25">
      <c r="A24" s="47" t="s">
        <v>94</v>
      </c>
      <c r="B24" s="20">
        <v>0</v>
      </c>
      <c r="C24" s="36">
        <v>787.59</v>
      </c>
      <c r="D24" s="20">
        <v>0</v>
      </c>
      <c r="E24" s="48">
        <v>787.59</v>
      </c>
      <c r="F24" s="38">
        <v>1.9209512195121952</v>
      </c>
      <c r="G24" s="39">
        <v>17880.419999999998</v>
      </c>
      <c r="H24" s="20">
        <v>3968.54</v>
      </c>
      <c r="I24" s="45">
        <v>1734.62</v>
      </c>
      <c r="J24" s="39">
        <v>1162.71</v>
      </c>
      <c r="K24" s="20">
        <v>262.86</v>
      </c>
      <c r="L24" s="20">
        <v>0</v>
      </c>
      <c r="M24" s="39">
        <v>1137.3399999999999</v>
      </c>
      <c r="N24" s="39">
        <v>26146.48</v>
      </c>
      <c r="O24" s="39">
        <v>63.771902439024387</v>
      </c>
      <c r="P24" s="19">
        <v>26934.07</v>
      </c>
      <c r="Q24" s="49">
        <v>410</v>
      </c>
      <c r="R24" s="41">
        <f t="shared" si="0"/>
        <v>65.692853658536578</v>
      </c>
    </row>
    <row r="25" spans="1:20" ht="15" thickBot="1" x14ac:dyDescent="0.25">
      <c r="A25" s="21" t="s">
        <v>6</v>
      </c>
      <c r="B25" s="22">
        <f>SUM(B20:B24)</f>
        <v>68098.930000000008</v>
      </c>
      <c r="C25" s="22">
        <f>SUM(C20:C24)</f>
        <v>1838.9</v>
      </c>
      <c r="D25" s="24">
        <f>SUM(D20:D24)</f>
        <v>150</v>
      </c>
      <c r="E25" s="22">
        <f>SUM(E20:E24)</f>
        <v>70087.839999999997</v>
      </c>
      <c r="F25" s="22">
        <f>SUM(F20:F24)</f>
        <v>402.43199193920913</v>
      </c>
      <c r="G25" s="24">
        <f>SUM(G20:G24)</f>
        <v>41801.819999999992</v>
      </c>
      <c r="H25" s="24">
        <f>SUM(H20:H24)</f>
        <v>5033.2700000000004</v>
      </c>
      <c r="I25" s="24">
        <f t="shared" ref="I25" si="1">SUM(I23:I24)</f>
        <v>2200</v>
      </c>
      <c r="J25" s="24">
        <f>SUM(J20:J24)</f>
        <v>1474.66</v>
      </c>
      <c r="K25" s="24">
        <f>SUM(K20:K24)</f>
        <v>333.39</v>
      </c>
      <c r="L25" s="24">
        <f>SUM(L23:L24)</f>
        <v>0</v>
      </c>
      <c r="M25" s="24">
        <f>SUM(M20:M24)</f>
        <v>1442.48</v>
      </c>
      <c r="N25" s="24">
        <f>SUM(N20:N24)</f>
        <v>52285.61</v>
      </c>
      <c r="O25" s="24">
        <f>SUM(O20:O24)</f>
        <v>237.87585224963044</v>
      </c>
      <c r="P25" s="25">
        <f>SUM(P20:P24)</f>
        <v>122373.44999999998</v>
      </c>
      <c r="Q25" s="25">
        <f>SUM(Q20:Q24)</f>
        <v>1040</v>
      </c>
      <c r="R25" s="25">
        <f>SUM(R20:R24)</f>
        <v>640.30784418883957</v>
      </c>
    </row>
    <row r="26" spans="1:20" x14ac:dyDescent="0.2">
      <c r="A26" s="28"/>
    </row>
    <row r="27" spans="1:20" x14ac:dyDescent="0.2">
      <c r="A27" s="28" t="s">
        <v>37</v>
      </c>
    </row>
    <row r="28" spans="1:20" x14ac:dyDescent="0.2">
      <c r="A28" s="28" t="s">
        <v>38</v>
      </c>
    </row>
    <row r="29" spans="1:20" x14ac:dyDescent="0.2">
      <c r="A29" s="28" t="s">
        <v>39</v>
      </c>
    </row>
    <row r="30" spans="1:20" x14ac:dyDescent="0.2">
      <c r="A30" s="28" t="s">
        <v>40</v>
      </c>
    </row>
    <row r="31" spans="1:20" x14ac:dyDescent="0.2">
      <c r="A31" s="28" t="s">
        <v>41</v>
      </c>
    </row>
    <row r="32" spans="1:20" x14ac:dyDescent="0.2">
      <c r="A32" s="28"/>
    </row>
    <row r="33" spans="6:6" x14ac:dyDescent="0.2">
      <c r="F33" s="3" t="s">
        <v>9</v>
      </c>
    </row>
  </sheetData>
  <mergeCells count="23">
    <mergeCell ref="O5:R5"/>
    <mergeCell ref="L15:L16"/>
    <mergeCell ref="M15:M16"/>
    <mergeCell ref="N15:O16"/>
    <mergeCell ref="A11:R11"/>
    <mergeCell ref="A9:R9"/>
    <mergeCell ref="O6:R6"/>
    <mergeCell ref="A1:V1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Q14:Q16"/>
    <mergeCell ref="A14:A16"/>
    <mergeCell ref="B14:F14"/>
    <mergeCell ref="K15:K16"/>
    <mergeCell ref="G14:O14"/>
    <mergeCell ref="O4:R4"/>
  </mergeCells>
  <pageMargins left="0.78740157480314965" right="0.78740157480314965" top="0.39370078740157483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Normal="100" workbookViewId="0">
      <selection activeCell="R27" sqref="R27"/>
    </sheetView>
  </sheetViews>
  <sheetFormatPr defaultRowHeight="14.25" x14ac:dyDescent="0.2"/>
  <cols>
    <col min="1" max="1" width="43.85546875" style="3" customWidth="1"/>
    <col min="2" max="2" width="10.140625" style="3" bestFit="1" customWidth="1"/>
    <col min="3" max="3" width="11.5703125" style="3" customWidth="1"/>
    <col min="4" max="4" width="12.140625" style="3" customWidth="1"/>
    <col min="5" max="5" width="11.140625" style="3" customWidth="1"/>
    <col min="6" max="6" width="9.28515625" style="3" bestFit="1" customWidth="1"/>
    <col min="7" max="7" width="12" style="3" customWidth="1"/>
    <col min="8" max="9" width="9.28515625" style="3" bestFit="1" customWidth="1"/>
    <col min="10" max="10" width="10.140625" style="3" customWidth="1"/>
    <col min="11" max="13" width="9.28515625" style="3" bestFit="1" customWidth="1"/>
    <col min="14" max="14" width="10.5703125" style="3" customWidth="1"/>
    <col min="15" max="15" width="9.28515625" style="3" bestFit="1" customWidth="1"/>
    <col min="16" max="16" width="12.85546875" style="3" customWidth="1"/>
    <col min="17" max="17" width="10.42578125" style="3" bestFit="1" customWidth="1"/>
    <col min="18" max="18" width="10.140625" style="3" bestFit="1" customWidth="1"/>
    <col min="19" max="16384" width="9.140625" style="3"/>
  </cols>
  <sheetData>
    <row r="1" spans="1:24" ht="33" x14ac:dyDescent="0.4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51"/>
      <c r="X1" s="51"/>
    </row>
    <row r="3" spans="1:24" ht="15.75" customHeight="1" x14ac:dyDescent="0.2">
      <c r="K3" s="33"/>
      <c r="L3" s="33"/>
      <c r="M3" s="33"/>
      <c r="N3" s="33"/>
      <c r="O3" s="193" t="s">
        <v>79</v>
      </c>
      <c r="P3" s="193"/>
      <c r="Q3" s="193"/>
      <c r="R3" s="193"/>
    </row>
    <row r="4" spans="1:24" ht="15.75" customHeight="1" x14ac:dyDescent="0.2">
      <c r="K4" s="33"/>
      <c r="L4" s="33"/>
      <c r="M4" s="33"/>
      <c r="N4" s="33"/>
      <c r="O4" s="193" t="s">
        <v>78</v>
      </c>
      <c r="P4" s="193"/>
      <c r="Q4" s="193"/>
      <c r="R4" s="193"/>
    </row>
    <row r="5" spans="1:24" ht="15.75" customHeight="1" x14ac:dyDescent="0.2">
      <c r="K5" s="33"/>
      <c r="L5" s="33"/>
      <c r="M5" s="33"/>
      <c r="N5" s="33"/>
      <c r="O5" s="193" t="s">
        <v>49</v>
      </c>
      <c r="P5" s="193"/>
      <c r="Q5" s="193"/>
      <c r="R5" s="193"/>
    </row>
    <row r="6" spans="1:24" ht="15.75" customHeight="1" x14ac:dyDescent="0.2">
      <c r="K6" s="70"/>
      <c r="L6" s="69"/>
      <c r="M6" s="69"/>
      <c r="N6" s="69"/>
      <c r="O6" s="194" t="s">
        <v>67</v>
      </c>
      <c r="P6" s="194"/>
      <c r="Q6" s="194"/>
      <c r="R6" s="194"/>
    </row>
    <row r="9" spans="1:24" ht="18" x14ac:dyDescent="0.25">
      <c r="A9" s="154" t="s">
        <v>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4" ht="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4" ht="33.75" customHeight="1" x14ac:dyDescent="0.2">
      <c r="A11" s="156" t="s">
        <v>70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3" spans="1:24" ht="15" thickBot="1" x14ac:dyDescent="0.25"/>
    <row r="14" spans="1:24" ht="68.25" customHeight="1" thickBot="1" x14ac:dyDescent="0.25">
      <c r="A14" s="197" t="s">
        <v>0</v>
      </c>
      <c r="B14" s="199" t="s">
        <v>13</v>
      </c>
      <c r="C14" s="200"/>
      <c r="D14" s="200"/>
      <c r="E14" s="200"/>
      <c r="F14" s="200"/>
      <c r="G14" s="201" t="s">
        <v>14</v>
      </c>
      <c r="H14" s="202"/>
      <c r="I14" s="202"/>
      <c r="J14" s="202"/>
      <c r="K14" s="202"/>
      <c r="L14" s="202"/>
      <c r="M14" s="202"/>
      <c r="N14" s="202"/>
      <c r="O14" s="203"/>
      <c r="P14" s="116" t="s">
        <v>1</v>
      </c>
      <c r="Q14" s="204" t="s">
        <v>2</v>
      </c>
      <c r="R14" s="206" t="s">
        <v>32</v>
      </c>
    </row>
    <row r="15" spans="1:24" ht="22.5" customHeight="1" x14ac:dyDescent="0.2">
      <c r="A15" s="198"/>
      <c r="B15" s="167" t="s">
        <v>33</v>
      </c>
      <c r="C15" s="167" t="s">
        <v>3</v>
      </c>
      <c r="D15" s="167" t="s">
        <v>4</v>
      </c>
      <c r="E15" s="208" t="s">
        <v>50</v>
      </c>
      <c r="F15" s="209"/>
      <c r="G15" s="186" t="s">
        <v>35</v>
      </c>
      <c r="H15" s="168" t="s">
        <v>12</v>
      </c>
      <c r="I15" s="168" t="s">
        <v>15</v>
      </c>
      <c r="J15" s="168" t="s">
        <v>16</v>
      </c>
      <c r="K15" s="186" t="s">
        <v>17</v>
      </c>
      <c r="L15" s="191" t="s">
        <v>18</v>
      </c>
      <c r="M15" s="195" t="s">
        <v>19</v>
      </c>
      <c r="N15" s="187" t="s">
        <v>36</v>
      </c>
      <c r="O15" s="188"/>
      <c r="P15" s="117" t="s">
        <v>20</v>
      </c>
      <c r="Q15" s="186"/>
      <c r="R15" s="207"/>
    </row>
    <row r="16" spans="1:24" ht="68.25" customHeight="1" thickBot="1" x14ac:dyDescent="0.25">
      <c r="A16" s="198"/>
      <c r="B16" s="168"/>
      <c r="C16" s="168"/>
      <c r="D16" s="168"/>
      <c r="E16" s="186"/>
      <c r="F16" s="210"/>
      <c r="G16" s="186"/>
      <c r="H16" s="168"/>
      <c r="I16" s="168"/>
      <c r="J16" s="168"/>
      <c r="K16" s="186"/>
      <c r="L16" s="192"/>
      <c r="M16" s="196"/>
      <c r="N16" s="189"/>
      <c r="O16" s="190"/>
      <c r="P16" s="76"/>
      <c r="Q16" s="205"/>
      <c r="R16" s="207"/>
    </row>
    <row r="17" spans="1:19" ht="39" customHeight="1" thickBot="1" x14ac:dyDescent="0.25">
      <c r="A17" s="77"/>
      <c r="B17" s="78" t="s">
        <v>7</v>
      </c>
      <c r="C17" s="78" t="s">
        <v>7</v>
      </c>
      <c r="D17" s="78" t="s">
        <v>7</v>
      </c>
      <c r="E17" s="78" t="s">
        <v>7</v>
      </c>
      <c r="F17" s="79" t="s">
        <v>28</v>
      </c>
      <c r="G17" s="78" t="s">
        <v>7</v>
      </c>
      <c r="H17" s="78" t="s">
        <v>7</v>
      </c>
      <c r="I17" s="78" t="s">
        <v>7</v>
      </c>
      <c r="J17" s="78" t="s">
        <v>7</v>
      </c>
      <c r="K17" s="78" t="s">
        <v>7</v>
      </c>
      <c r="L17" s="78" t="s">
        <v>7</v>
      </c>
      <c r="M17" s="78" t="s">
        <v>7</v>
      </c>
      <c r="N17" s="78" t="s">
        <v>7</v>
      </c>
      <c r="O17" s="79" t="s">
        <v>29</v>
      </c>
      <c r="P17" s="80" t="s">
        <v>7</v>
      </c>
      <c r="Q17" s="81" t="s">
        <v>25</v>
      </c>
      <c r="R17" s="79" t="s">
        <v>26</v>
      </c>
    </row>
    <row r="18" spans="1:19" ht="19.5" customHeight="1" thickBot="1" x14ac:dyDescent="0.25">
      <c r="A18" s="82">
        <v>1</v>
      </c>
      <c r="B18" s="82">
        <v>2</v>
      </c>
      <c r="C18" s="82">
        <v>3</v>
      </c>
      <c r="D18" s="82">
        <v>4</v>
      </c>
      <c r="E18" s="82">
        <v>5</v>
      </c>
      <c r="F18" s="82">
        <v>6</v>
      </c>
      <c r="G18" s="82">
        <v>7</v>
      </c>
      <c r="H18" s="82">
        <v>8</v>
      </c>
      <c r="I18" s="82">
        <v>9</v>
      </c>
      <c r="J18" s="82">
        <v>10</v>
      </c>
      <c r="K18" s="82">
        <v>11</v>
      </c>
      <c r="L18" s="82">
        <v>12</v>
      </c>
      <c r="M18" s="82">
        <v>13</v>
      </c>
      <c r="N18" s="82">
        <v>14</v>
      </c>
      <c r="O18" s="82">
        <v>15</v>
      </c>
      <c r="P18" s="82">
        <v>16</v>
      </c>
      <c r="Q18" s="83">
        <v>17</v>
      </c>
      <c r="R18" s="84">
        <v>18</v>
      </c>
    </row>
    <row r="19" spans="1:19" x14ac:dyDescent="0.2">
      <c r="A19" s="90" t="s">
        <v>5</v>
      </c>
      <c r="B19" s="86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9"/>
    </row>
    <row r="20" spans="1:19" ht="60.75" customHeight="1" x14ac:dyDescent="0.2">
      <c r="A20" s="29" t="s">
        <v>99</v>
      </c>
      <c r="B20" s="92">
        <f>9781.31/37758.5*2976</f>
        <v>770.93048081888844</v>
      </c>
      <c r="C20" s="92">
        <f>23.42/37758.5*2976</f>
        <v>1.8458868863964406</v>
      </c>
      <c r="D20" s="92">
        <f>42.34/37758.5*2976</f>
        <v>3.3370986665254185</v>
      </c>
      <c r="E20" s="93">
        <f>SUM(B20:D20)</f>
        <v>776.11346637181032</v>
      </c>
      <c r="F20" s="93">
        <f>E20/Q20</f>
        <v>0.26079081531310833</v>
      </c>
      <c r="G20" s="92">
        <f>3515.45/37758.5*2976</f>
        <v>277.07613385065611</v>
      </c>
      <c r="H20" s="92">
        <f>247.5/37758.5*2976</f>
        <v>19.50713084471046</v>
      </c>
      <c r="I20" s="50">
        <v>0</v>
      </c>
      <c r="J20" s="92">
        <f>3.2/37758.5*2976</f>
        <v>0.252213408901307</v>
      </c>
      <c r="K20" s="92">
        <f>67.01/37758.5*2976</f>
        <v>5.281506415773932</v>
      </c>
      <c r="L20" s="92">
        <v>0</v>
      </c>
      <c r="M20" s="92">
        <f>862.71/37758.5*2976</f>
        <v>67.995946872889547</v>
      </c>
      <c r="N20" s="93">
        <f>SUM(G20:M20)</f>
        <v>370.11293139293133</v>
      </c>
      <c r="O20" s="93">
        <f t="shared" ref="O20:O24" si="0">N20/Q20</f>
        <v>0.12436590436590435</v>
      </c>
      <c r="P20" s="93">
        <f>E20+N20</f>
        <v>1146.2263977647417</v>
      </c>
      <c r="Q20" s="94">
        <v>2976</v>
      </c>
      <c r="R20" s="142">
        <f>P20/Q20</f>
        <v>0.38515671967901266</v>
      </c>
    </row>
    <row r="21" spans="1:19" ht="62.25" customHeight="1" x14ac:dyDescent="0.2">
      <c r="A21" s="29" t="s">
        <v>100</v>
      </c>
      <c r="B21" s="92">
        <f>9781.31/37758.5*2321.5</f>
        <v>601.38276586728807</v>
      </c>
      <c r="C21" s="92">
        <f>23.42/37758.5*2321.5</f>
        <v>1.4399282280810943</v>
      </c>
      <c r="D21" s="92">
        <f>42.34/37758.5*2321.5</f>
        <v>2.6031836540116799</v>
      </c>
      <c r="E21" s="93">
        <f t="shared" ref="E21:E24" si="1">SUM(B21:D21)</f>
        <v>605.42587774938079</v>
      </c>
      <c r="F21" s="93">
        <f t="shared" ref="F21:F24" si="2">E21/Q21</f>
        <v>0.26079081531310827</v>
      </c>
      <c r="G21" s="92">
        <f>3515.45/37758.5*2321.5</f>
        <v>216.13986718222384</v>
      </c>
      <c r="H21" s="92">
        <f>247.5/37758.5*2321.5</f>
        <v>15.217004118278002</v>
      </c>
      <c r="I21" s="50">
        <v>0</v>
      </c>
      <c r="J21" s="92">
        <f>3.2/37758.5*2321.5</f>
        <v>0.19674510375147319</v>
      </c>
      <c r="K21" s="92">
        <f>67.01/37758.5*2321.5</f>
        <v>4.1199654382456936</v>
      </c>
      <c r="L21" s="92"/>
      <c r="M21" s="92">
        <f>862.71/37758.5*2321.5</f>
        <v>53.041865142947948</v>
      </c>
      <c r="N21" s="93">
        <f t="shared" ref="N21:N24" si="3">SUM(G21:M21)</f>
        <v>288.71544698544693</v>
      </c>
      <c r="O21" s="93">
        <f t="shared" si="0"/>
        <v>0.12436590436590435</v>
      </c>
      <c r="P21" s="93">
        <f t="shared" ref="P21:P23" si="4">E21+N21</f>
        <v>894.14132473482778</v>
      </c>
      <c r="Q21" s="94">
        <v>2321.5</v>
      </c>
      <c r="R21" s="142">
        <f t="shared" ref="R21:R24" si="5">P21/Q21</f>
        <v>0.3851567196790126</v>
      </c>
    </row>
    <row r="22" spans="1:19" ht="57" customHeight="1" x14ac:dyDescent="0.2">
      <c r="A22" s="29" t="s">
        <v>101</v>
      </c>
      <c r="B22" s="92">
        <f>9781.31/37758.5*5870.5</f>
        <v>1520.7484501502972</v>
      </c>
      <c r="C22" s="92">
        <f>23.42/37758.5*5870.5</f>
        <v>3.6412227710316882</v>
      </c>
      <c r="D22" s="92">
        <f>42.34/37758.5*5870.5</f>
        <v>6.582808374273343</v>
      </c>
      <c r="E22" s="93">
        <f t="shared" si="1"/>
        <v>1530.9724812956022</v>
      </c>
      <c r="F22" s="93">
        <f t="shared" si="2"/>
        <v>0.26079081531310827</v>
      </c>
      <c r="G22" s="92">
        <f>3515.45/37758.5*5870.5</f>
        <v>546.56432922388331</v>
      </c>
      <c r="H22" s="92">
        <f>247.5/37758.5*5870.5</f>
        <v>38.480044228451867</v>
      </c>
      <c r="I22" s="50">
        <v>0</v>
      </c>
      <c r="J22" s="92">
        <f>3.2/37758.5*5870.5</f>
        <v>0.49751976376180201</v>
      </c>
      <c r="K22" s="92">
        <f>67.01/37758.5*5870.5</f>
        <v>10.418374803024486</v>
      </c>
      <c r="L22" s="92"/>
      <c r="M22" s="92">
        <f>862.71/37758.5*5870.5</f>
        <v>134.12977356092006</v>
      </c>
      <c r="N22" s="93">
        <f t="shared" si="3"/>
        <v>730.09004158004154</v>
      </c>
      <c r="O22" s="93">
        <f t="shared" si="0"/>
        <v>0.12436590436590436</v>
      </c>
      <c r="P22" s="93">
        <f t="shared" si="4"/>
        <v>2261.0625228756435</v>
      </c>
      <c r="Q22" s="94">
        <v>5870.5</v>
      </c>
      <c r="R22" s="142">
        <f t="shared" si="5"/>
        <v>0.3851567196790126</v>
      </c>
    </row>
    <row r="23" spans="1:19" ht="66" customHeight="1" x14ac:dyDescent="0.2">
      <c r="A23" s="29" t="s">
        <v>102</v>
      </c>
      <c r="B23" s="92">
        <f>9781.31/37758.5*4637.5</f>
        <v>1201.3407610206973</v>
      </c>
      <c r="C23" s="92">
        <f>23.42/37758.5*4637.5</f>
        <v>2.876445038865421</v>
      </c>
      <c r="D23" s="92">
        <f>42.34/37758.5*4637.5</f>
        <v>5.2001999549770259</v>
      </c>
      <c r="E23" s="93">
        <f t="shared" si="1"/>
        <v>1209.4174060145397</v>
      </c>
      <c r="F23" s="93">
        <f t="shared" si="2"/>
        <v>0.26079081531310827</v>
      </c>
      <c r="G23" s="92">
        <f>3515.45/37758.5*4637.5</f>
        <v>431.76766489664573</v>
      </c>
      <c r="H23" s="92">
        <f>247.5/37758.5*4637.5</f>
        <v>30.397956751459933</v>
      </c>
      <c r="I23" s="2">
        <v>0</v>
      </c>
      <c r="J23" s="92">
        <f>3.2/37758.5*4637.5</f>
        <v>0.39302408729160326</v>
      </c>
      <c r="K23" s="92">
        <f>67.01/37758.5*4637.5</f>
        <v>8.2301700279407299</v>
      </c>
      <c r="L23" s="92"/>
      <c r="M23" s="92">
        <f>862.71/37758.5*4637.5</f>
        <v>105.95806573354345</v>
      </c>
      <c r="N23" s="93">
        <f t="shared" si="3"/>
        <v>576.74688149688154</v>
      </c>
      <c r="O23" s="93">
        <f t="shared" si="0"/>
        <v>0.12436590436590438</v>
      </c>
      <c r="P23" s="93">
        <f t="shared" si="4"/>
        <v>1786.1642875114212</v>
      </c>
      <c r="Q23" s="95">
        <v>4637.5</v>
      </c>
      <c r="R23" s="142">
        <f t="shared" si="5"/>
        <v>0.38515671967901266</v>
      </c>
      <c r="S23" s="32"/>
    </row>
    <row r="24" spans="1:19" ht="66" customHeight="1" x14ac:dyDescent="0.2">
      <c r="A24" s="29" t="s">
        <v>103</v>
      </c>
      <c r="B24" s="92">
        <f>9781.31/37758.5*7328</f>
        <v>1898.3126893282306</v>
      </c>
      <c r="C24" s="92">
        <f>23.42/37758.5*7328</f>
        <v>4.5452483546751061</v>
      </c>
      <c r="D24" s="92">
        <f>42.34/37758.5*7328</f>
        <v>8.2171569315518376</v>
      </c>
      <c r="E24" s="93">
        <f t="shared" si="1"/>
        <v>1911.0750946144576</v>
      </c>
      <c r="F24" s="93">
        <f t="shared" si="2"/>
        <v>0.26079081531310833</v>
      </c>
      <c r="G24" s="92">
        <f>3515.45/37758.5*7328</f>
        <v>682.26273819140056</v>
      </c>
      <c r="H24" s="92">
        <f>247.5/37758.5*7328</f>
        <v>48.033687778910704</v>
      </c>
      <c r="I24" s="2">
        <v>0</v>
      </c>
      <c r="J24" s="92">
        <f>3.2/37758.5*7328</f>
        <v>0.62104161976773442</v>
      </c>
      <c r="K24" s="92">
        <f>67.01/37758.5*7328</f>
        <v>13.004999668948715</v>
      </c>
      <c r="L24" s="92"/>
      <c r="M24" s="92">
        <f>862.71/37758.5*7328</f>
        <v>167.43087993431942</v>
      </c>
      <c r="N24" s="93">
        <f t="shared" si="3"/>
        <v>911.35334719334719</v>
      </c>
      <c r="O24" s="93">
        <f t="shared" si="0"/>
        <v>0.12436590436590436</v>
      </c>
      <c r="P24" s="93">
        <f>E24+N24</f>
        <v>2822.428441807805</v>
      </c>
      <c r="Q24" s="95">
        <v>7328</v>
      </c>
      <c r="R24" s="142">
        <f t="shared" si="5"/>
        <v>0.38515671967901272</v>
      </c>
      <c r="S24" s="32"/>
    </row>
    <row r="25" spans="1:19" ht="66" customHeight="1" x14ac:dyDescent="0.2">
      <c r="A25" s="29" t="s">
        <v>104</v>
      </c>
      <c r="B25" s="92">
        <f>9781.31/37758.5*14625</f>
        <v>3788.5948528145977</v>
      </c>
      <c r="C25" s="92">
        <f>23.42/37758.5*14625</f>
        <v>9.0712687209502505</v>
      </c>
      <c r="D25" s="92">
        <f>42.34/37758.5*14625</f>
        <v>16.399552418660701</v>
      </c>
      <c r="E25" s="93">
        <f>SUM(B25:D25)</f>
        <v>3814.0656739542087</v>
      </c>
      <c r="F25" s="93">
        <f>E25/Q25</f>
        <v>0.26079081531310827</v>
      </c>
      <c r="G25" s="92">
        <f>3515.45/37758.5*14625</f>
        <v>1361.6392666551901</v>
      </c>
      <c r="H25" s="92">
        <f>247.5/37758.5*14625</f>
        <v>95.864176278189007</v>
      </c>
      <c r="I25" s="2">
        <v>0</v>
      </c>
      <c r="J25" s="92">
        <f>3.2/37758.5*14625</f>
        <v>1.2394560165260804</v>
      </c>
      <c r="K25" s="92">
        <f>67.01/37758.5*14625</f>
        <v>25.954983646066452</v>
      </c>
      <c r="L25" s="92"/>
      <c r="M25" s="92">
        <f>862.71/37758.5*14625</f>
        <v>334.15346875537961</v>
      </c>
      <c r="N25" s="93">
        <f>SUM(G25:M25)</f>
        <v>1818.8513513513512</v>
      </c>
      <c r="O25" s="93">
        <f>N25/Q25</f>
        <v>0.12436590436590436</v>
      </c>
      <c r="P25" s="93">
        <f>E25+N25</f>
        <v>5632.9170253055599</v>
      </c>
      <c r="Q25" s="95">
        <v>14625</v>
      </c>
      <c r="R25" s="142">
        <f>P25/Q25</f>
        <v>0.38515671967901266</v>
      </c>
      <c r="S25" s="32"/>
    </row>
    <row r="26" spans="1:19" ht="26.25" thickBot="1" x14ac:dyDescent="0.25">
      <c r="A26" s="119" t="s">
        <v>45</v>
      </c>
      <c r="B26" s="143">
        <v>9485.2099999999991</v>
      </c>
      <c r="C26" s="143">
        <v>22.72</v>
      </c>
      <c r="D26" s="143">
        <v>41.06</v>
      </c>
      <c r="E26" s="144">
        <f t="shared" ref="E26" si="6">B26+C26+D26</f>
        <v>9548.989999999998</v>
      </c>
      <c r="F26" s="93">
        <f t="shared" ref="F26" si="7">E26/Q26</f>
        <v>0.26079092187734698</v>
      </c>
      <c r="G26" s="143">
        <v>3409.04</v>
      </c>
      <c r="H26" s="143">
        <v>240</v>
      </c>
      <c r="I26" s="145">
        <v>0</v>
      </c>
      <c r="J26" s="143">
        <v>3.1</v>
      </c>
      <c r="K26" s="143">
        <v>64.989999999999995</v>
      </c>
      <c r="L26" s="145"/>
      <c r="M26" s="143">
        <v>836.59</v>
      </c>
      <c r="N26" s="143">
        <f>SUM(G26:M26)</f>
        <v>4553.7199999999993</v>
      </c>
      <c r="O26" s="146">
        <f t="shared" ref="O26" si="8">N26/Q26</f>
        <v>0.1243659106116262</v>
      </c>
      <c r="P26" s="143">
        <f>E26+N26</f>
        <v>14102.709999999997</v>
      </c>
      <c r="Q26" s="147">
        <v>36615.5</v>
      </c>
      <c r="R26" s="142">
        <f t="shared" ref="R26" si="9">P26/Q26</f>
        <v>0.3851568324889732</v>
      </c>
      <c r="S26" s="32"/>
    </row>
    <row r="27" spans="1:19" ht="15" thickBot="1" x14ac:dyDescent="0.25">
      <c r="A27" s="91" t="s">
        <v>6</v>
      </c>
      <c r="B27" s="148">
        <f>SUM(B20:B26)</f>
        <v>19266.519999999997</v>
      </c>
      <c r="C27" s="148">
        <f t="shared" ref="C27:P27" si="10">SUM(C20:C26)</f>
        <v>46.14</v>
      </c>
      <c r="D27" s="148">
        <f t="shared" si="10"/>
        <v>83.4</v>
      </c>
      <c r="E27" s="148">
        <f t="shared" si="10"/>
        <v>19396.059999999998</v>
      </c>
      <c r="F27" s="148">
        <f t="shared" si="10"/>
        <v>1.8255358137559967</v>
      </c>
      <c r="G27" s="148">
        <f t="shared" si="10"/>
        <v>6924.49</v>
      </c>
      <c r="H27" s="148">
        <f t="shared" si="10"/>
        <v>487.49999999999994</v>
      </c>
      <c r="I27" s="148">
        <f t="shared" si="10"/>
        <v>0</v>
      </c>
      <c r="J27" s="148">
        <f t="shared" si="10"/>
        <v>6.3000000000000007</v>
      </c>
      <c r="K27" s="148">
        <f t="shared" si="10"/>
        <v>132</v>
      </c>
      <c r="L27" s="148">
        <f t="shared" si="10"/>
        <v>0</v>
      </c>
      <c r="M27" s="148">
        <f t="shared" si="10"/>
        <v>1699.3000000000002</v>
      </c>
      <c r="N27" s="148">
        <f t="shared" si="10"/>
        <v>9249.5899999999983</v>
      </c>
      <c r="O27" s="148">
        <f t="shared" si="10"/>
        <v>0.87056133680705228</v>
      </c>
      <c r="P27" s="148">
        <f t="shared" si="10"/>
        <v>28645.649999999994</v>
      </c>
      <c r="Q27" s="148">
        <f>SUM(Q20:Q26)</f>
        <v>74374</v>
      </c>
      <c r="R27" s="148">
        <f>P27/Q27</f>
        <v>0.3851567752171457</v>
      </c>
    </row>
    <row r="28" spans="1:19" x14ac:dyDescent="0.2">
      <c r="A28" s="28"/>
    </row>
    <row r="29" spans="1:19" x14ac:dyDescent="0.2">
      <c r="A29" s="28" t="s">
        <v>37</v>
      </c>
    </row>
    <row r="30" spans="1:19" x14ac:dyDescent="0.2">
      <c r="A30" s="28" t="s">
        <v>38</v>
      </c>
    </row>
    <row r="31" spans="1:19" x14ac:dyDescent="0.2">
      <c r="A31" s="28" t="s">
        <v>39</v>
      </c>
    </row>
    <row r="32" spans="1:19" x14ac:dyDescent="0.2">
      <c r="A32" s="28" t="s">
        <v>40</v>
      </c>
    </row>
    <row r="33" spans="1:6" x14ac:dyDescent="0.2">
      <c r="A33" s="28" t="s">
        <v>41</v>
      </c>
    </row>
    <row r="34" spans="1:6" x14ac:dyDescent="0.2">
      <c r="A34" s="28"/>
    </row>
    <row r="35" spans="1:6" x14ac:dyDescent="0.2">
      <c r="F35" s="3" t="s">
        <v>9</v>
      </c>
    </row>
  </sheetData>
  <mergeCells count="24">
    <mergeCell ref="R14:R16"/>
    <mergeCell ref="H15:H16"/>
    <mergeCell ref="I15:I16"/>
    <mergeCell ref="B15:B16"/>
    <mergeCell ref="C15:C16"/>
    <mergeCell ref="D15:D16"/>
    <mergeCell ref="E15:F16"/>
    <mergeCell ref="G15:G16"/>
    <mergeCell ref="A1:V1"/>
    <mergeCell ref="K15:K16"/>
    <mergeCell ref="N15:O16"/>
    <mergeCell ref="L15:L16"/>
    <mergeCell ref="O3:R3"/>
    <mergeCell ref="O4:R4"/>
    <mergeCell ref="O5:R5"/>
    <mergeCell ref="O6:R6"/>
    <mergeCell ref="M15:M16"/>
    <mergeCell ref="J15:J16"/>
    <mergeCell ref="A11:R11"/>
    <mergeCell ref="A9:R9"/>
    <mergeCell ref="A14:A16"/>
    <mergeCell ref="B14:F14"/>
    <mergeCell ref="G14:O14"/>
    <mergeCell ref="Q14:Q16"/>
  </mergeCells>
  <pageMargins left="0.39370078740157483" right="0.39370078740157483" top="0.39370078740157483" bottom="0.59055118110236227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9"/>
  <sheetViews>
    <sheetView topLeftCell="A16" workbookViewId="0">
      <selection activeCell="A20" sqref="A20"/>
    </sheetView>
  </sheetViews>
  <sheetFormatPr defaultRowHeight="14.25" x14ac:dyDescent="0.2"/>
  <cols>
    <col min="1" max="1" width="32.28515625" style="3" customWidth="1"/>
    <col min="2" max="3" width="9.28515625" style="3" customWidth="1"/>
    <col min="4" max="4" width="9.28515625" style="3" bestFit="1" customWidth="1"/>
    <col min="5" max="5" width="9.5703125" style="3" bestFit="1" customWidth="1"/>
    <col min="6" max="6" width="9.28515625" style="3" bestFit="1" customWidth="1"/>
    <col min="7" max="7" width="9.5703125" style="3" bestFit="1" customWidth="1"/>
    <col min="8" max="8" width="9.7109375" style="3" customWidth="1"/>
    <col min="9" max="9" width="10" style="3" customWidth="1"/>
    <col min="10" max="12" width="9.28515625" style="3" bestFit="1" customWidth="1"/>
    <col min="13" max="13" width="9.5703125" style="3" bestFit="1" customWidth="1"/>
    <col min="14" max="14" width="11.42578125" style="3" customWidth="1"/>
    <col min="15" max="15" width="9.5703125" style="3" bestFit="1" customWidth="1"/>
    <col min="16" max="16" width="11.85546875" style="3" customWidth="1"/>
    <col min="17" max="17" width="10.42578125" style="3" bestFit="1" customWidth="1"/>
    <col min="18" max="18" width="10" style="3" customWidth="1"/>
    <col min="19" max="16384" width="9.140625" style="3"/>
  </cols>
  <sheetData>
    <row r="1" spans="1:24" ht="33" x14ac:dyDescent="0.4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51"/>
      <c r="W1" s="51"/>
      <c r="X1" s="51"/>
    </row>
    <row r="2" spans="1:24" ht="15.75" customHeight="1" x14ac:dyDescent="0.2"/>
    <row r="3" spans="1:24" ht="18" customHeight="1" x14ac:dyDescent="0.25">
      <c r="L3" s="69"/>
      <c r="M3" s="69"/>
      <c r="N3" s="157" t="s">
        <v>79</v>
      </c>
      <c r="O3" s="157"/>
      <c r="P3" s="157"/>
      <c r="Q3" s="157"/>
      <c r="R3" s="157"/>
    </row>
    <row r="4" spans="1:24" ht="18" customHeight="1" x14ac:dyDescent="0.25">
      <c r="K4" s="70"/>
      <c r="L4" s="70"/>
      <c r="M4" s="70"/>
      <c r="N4" s="158" t="s">
        <v>78</v>
      </c>
      <c r="O4" s="158"/>
      <c r="P4" s="158"/>
      <c r="Q4" s="158"/>
      <c r="R4" s="158"/>
    </row>
    <row r="5" spans="1:24" ht="18" customHeight="1" x14ac:dyDescent="0.25">
      <c r="K5" s="70" t="s">
        <v>48</v>
      </c>
      <c r="L5" s="70"/>
      <c r="M5" s="70"/>
      <c r="N5" s="158" t="s">
        <v>49</v>
      </c>
      <c r="O5" s="158"/>
      <c r="P5" s="158"/>
      <c r="Q5" s="158"/>
      <c r="R5" s="158"/>
    </row>
    <row r="6" spans="1:24" ht="18" customHeight="1" x14ac:dyDescent="0.25">
      <c r="K6" s="69"/>
      <c r="L6" s="69"/>
      <c r="M6" s="69"/>
      <c r="N6" s="157" t="s">
        <v>67</v>
      </c>
      <c r="O6" s="157"/>
      <c r="P6" s="157"/>
      <c r="Q6" s="157"/>
      <c r="R6" s="157"/>
    </row>
    <row r="9" spans="1:24" ht="18" x14ac:dyDescent="0.25">
      <c r="A9" s="154" t="s">
        <v>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4" ht="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4" ht="29.25" customHeight="1" x14ac:dyDescent="0.2">
      <c r="A11" s="156" t="s">
        <v>71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3" spans="1:24" ht="15" thickBot="1" x14ac:dyDescent="0.25"/>
    <row r="14" spans="1:24" ht="89.25" customHeight="1" thickBot="1" x14ac:dyDescent="0.25">
      <c r="A14" s="197" t="s">
        <v>0</v>
      </c>
      <c r="B14" s="199" t="s">
        <v>13</v>
      </c>
      <c r="C14" s="200"/>
      <c r="D14" s="200"/>
      <c r="E14" s="200"/>
      <c r="F14" s="200"/>
      <c r="G14" s="201" t="s">
        <v>14</v>
      </c>
      <c r="H14" s="202"/>
      <c r="I14" s="202"/>
      <c r="J14" s="202"/>
      <c r="K14" s="202"/>
      <c r="L14" s="202"/>
      <c r="M14" s="202"/>
      <c r="N14" s="202"/>
      <c r="O14" s="203"/>
      <c r="P14" s="74" t="s">
        <v>1</v>
      </c>
      <c r="Q14" s="204" t="s">
        <v>2</v>
      </c>
      <c r="R14" s="206" t="s">
        <v>24</v>
      </c>
    </row>
    <row r="15" spans="1:24" ht="22.5" customHeight="1" x14ac:dyDescent="0.2">
      <c r="A15" s="198"/>
      <c r="B15" s="167" t="s">
        <v>33</v>
      </c>
      <c r="C15" s="167" t="s">
        <v>3</v>
      </c>
      <c r="D15" s="167" t="s">
        <v>4</v>
      </c>
      <c r="E15" s="208" t="s">
        <v>50</v>
      </c>
      <c r="F15" s="209"/>
      <c r="G15" s="186" t="s">
        <v>35</v>
      </c>
      <c r="H15" s="168" t="s">
        <v>12</v>
      </c>
      <c r="I15" s="168" t="s">
        <v>15</v>
      </c>
      <c r="J15" s="168" t="s">
        <v>16</v>
      </c>
      <c r="K15" s="186" t="s">
        <v>17</v>
      </c>
      <c r="L15" s="191" t="s">
        <v>18</v>
      </c>
      <c r="M15" s="195" t="s">
        <v>19</v>
      </c>
      <c r="N15" s="187" t="s">
        <v>36</v>
      </c>
      <c r="O15" s="188"/>
      <c r="P15" s="75" t="s">
        <v>20</v>
      </c>
      <c r="Q15" s="186"/>
      <c r="R15" s="207"/>
    </row>
    <row r="16" spans="1:24" ht="79.5" customHeight="1" thickBot="1" x14ac:dyDescent="0.25">
      <c r="A16" s="198"/>
      <c r="B16" s="168"/>
      <c r="C16" s="168"/>
      <c r="D16" s="168"/>
      <c r="E16" s="186"/>
      <c r="F16" s="210"/>
      <c r="G16" s="186"/>
      <c r="H16" s="168"/>
      <c r="I16" s="168"/>
      <c r="J16" s="168"/>
      <c r="K16" s="186"/>
      <c r="L16" s="192"/>
      <c r="M16" s="196"/>
      <c r="N16" s="189"/>
      <c r="O16" s="190"/>
      <c r="P16" s="76"/>
      <c r="Q16" s="205"/>
      <c r="R16" s="207"/>
    </row>
    <row r="17" spans="1:18" ht="51" customHeight="1" thickBot="1" x14ac:dyDescent="0.25">
      <c r="A17" s="77"/>
      <c r="B17" s="78" t="s">
        <v>7</v>
      </c>
      <c r="C17" s="78" t="s">
        <v>7</v>
      </c>
      <c r="D17" s="78" t="s">
        <v>7</v>
      </c>
      <c r="E17" s="78" t="s">
        <v>7</v>
      </c>
      <c r="F17" s="79" t="s">
        <v>22</v>
      </c>
      <c r="G17" s="78" t="s">
        <v>7</v>
      </c>
      <c r="H17" s="78" t="s">
        <v>7</v>
      </c>
      <c r="I17" s="78" t="s">
        <v>7</v>
      </c>
      <c r="J17" s="78" t="s">
        <v>7</v>
      </c>
      <c r="K17" s="78" t="s">
        <v>7</v>
      </c>
      <c r="L17" s="78" t="s">
        <v>7</v>
      </c>
      <c r="M17" s="78" t="s">
        <v>7</v>
      </c>
      <c r="N17" s="78" t="s">
        <v>7</v>
      </c>
      <c r="O17" s="79" t="s">
        <v>23</v>
      </c>
      <c r="P17" s="80" t="s">
        <v>7</v>
      </c>
      <c r="Q17" s="81" t="s">
        <v>25</v>
      </c>
      <c r="R17" s="79" t="s">
        <v>26</v>
      </c>
    </row>
    <row r="18" spans="1:18" ht="19.5" customHeight="1" thickBot="1" x14ac:dyDescent="0.25">
      <c r="A18" s="78">
        <v>1</v>
      </c>
      <c r="B18" s="82">
        <v>2</v>
      </c>
      <c r="C18" s="82">
        <v>3</v>
      </c>
      <c r="D18" s="82">
        <v>4</v>
      </c>
      <c r="E18" s="82">
        <v>5</v>
      </c>
      <c r="F18" s="82">
        <v>6</v>
      </c>
      <c r="G18" s="82">
        <v>7</v>
      </c>
      <c r="H18" s="82">
        <v>8</v>
      </c>
      <c r="I18" s="82">
        <v>9</v>
      </c>
      <c r="J18" s="82">
        <v>10</v>
      </c>
      <c r="K18" s="82">
        <v>11</v>
      </c>
      <c r="L18" s="82">
        <v>12</v>
      </c>
      <c r="M18" s="82">
        <v>13</v>
      </c>
      <c r="N18" s="82">
        <v>14</v>
      </c>
      <c r="O18" s="82">
        <v>15</v>
      </c>
      <c r="P18" s="82">
        <v>16</v>
      </c>
      <c r="Q18" s="83">
        <v>17</v>
      </c>
      <c r="R18" s="84">
        <v>18</v>
      </c>
    </row>
    <row r="19" spans="1:18" x14ac:dyDescent="0.2">
      <c r="A19" s="85" t="s">
        <v>5</v>
      </c>
      <c r="B19" s="86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9"/>
    </row>
    <row r="20" spans="1:18" ht="38.25" x14ac:dyDescent="0.2">
      <c r="A20" s="149" t="s">
        <v>46</v>
      </c>
      <c r="B20" s="52">
        <v>7272.3</v>
      </c>
      <c r="C20" s="53">
        <v>64.22</v>
      </c>
      <c r="D20" s="52">
        <v>121.42</v>
      </c>
      <c r="E20" s="54">
        <f>SUM(B20:D20)</f>
        <v>7457.9400000000005</v>
      </c>
      <c r="F20" s="54">
        <f>E20/Q20</f>
        <v>5.8351315614461982E-2</v>
      </c>
      <c r="G20" s="54">
        <v>9084.8700000000008</v>
      </c>
      <c r="H20" s="54">
        <v>2400.0300000000002</v>
      </c>
      <c r="I20" s="55">
        <v>348</v>
      </c>
      <c r="J20" s="54">
        <v>22.56</v>
      </c>
      <c r="K20" s="54">
        <v>72.83</v>
      </c>
      <c r="L20" s="55">
        <v>0</v>
      </c>
      <c r="M20" s="54">
        <v>936.16</v>
      </c>
      <c r="N20" s="54">
        <f>SUM(G20:M20)</f>
        <v>12864.45</v>
      </c>
      <c r="O20" s="54">
        <f>N20/Q20</f>
        <v>0.10065213479277997</v>
      </c>
      <c r="P20" s="54">
        <f>E20+N20</f>
        <v>20322.39</v>
      </c>
      <c r="Q20" s="139">
        <v>127811</v>
      </c>
      <c r="R20" s="56">
        <f>F20+O20</f>
        <v>0.15900345040724195</v>
      </c>
    </row>
    <row r="21" spans="1:18" ht="30" customHeight="1" thickBot="1" x14ac:dyDescent="0.25">
      <c r="A21" s="34" t="s">
        <v>47</v>
      </c>
      <c r="B21" s="57">
        <v>0</v>
      </c>
      <c r="C21" s="57">
        <v>131.11000000000001</v>
      </c>
      <c r="D21" s="57">
        <v>0</v>
      </c>
      <c r="E21" s="58">
        <f t="shared" ref="E21" si="0">B21+C21+D21</f>
        <v>131.11000000000001</v>
      </c>
      <c r="F21" s="59">
        <f>E21/Q21</f>
        <v>2.6222000000000003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60">
        <v>0</v>
      </c>
      <c r="N21" s="57">
        <f>SUM(G21:M21)</f>
        <v>0</v>
      </c>
      <c r="O21" s="54">
        <f>N21/Q21</f>
        <v>0</v>
      </c>
      <c r="P21" s="113">
        <f>E21+N21</f>
        <v>131.11000000000001</v>
      </c>
      <c r="Q21" s="140">
        <v>50</v>
      </c>
      <c r="R21" s="56">
        <f>F21+O21</f>
        <v>2.6222000000000003</v>
      </c>
    </row>
    <row r="22" spans="1:18" ht="15" thickBot="1" x14ac:dyDescent="0.25">
      <c r="A22" s="30" t="s">
        <v>6</v>
      </c>
      <c r="B22" s="31">
        <f t="shared" ref="B22:H22" si="1">SUM(B20:B21)</f>
        <v>7272.3</v>
      </c>
      <c r="C22" s="22">
        <f t="shared" si="1"/>
        <v>195.33</v>
      </c>
      <c r="D22" s="22">
        <f t="shared" si="1"/>
        <v>121.42</v>
      </c>
      <c r="E22" s="22">
        <f t="shared" si="1"/>
        <v>7589.05</v>
      </c>
      <c r="F22" s="22">
        <f t="shared" si="1"/>
        <v>2.6805513156144625</v>
      </c>
      <c r="G22" s="22">
        <f t="shared" si="1"/>
        <v>9084.8700000000008</v>
      </c>
      <c r="H22" s="22">
        <f t="shared" si="1"/>
        <v>2400.0300000000002</v>
      </c>
      <c r="I22" s="24">
        <f t="shared" ref="I22" si="2">SUM(I20:I21)</f>
        <v>348</v>
      </c>
      <c r="J22" s="24">
        <f>SUM(J20:J21)</f>
        <v>22.56</v>
      </c>
      <c r="K22" s="22">
        <f>SUM(K20:K21)</f>
        <v>72.83</v>
      </c>
      <c r="L22" s="24">
        <f>SUM(L20:L21)</f>
        <v>0</v>
      </c>
      <c r="M22" s="22">
        <f>SUM(M20:M21)</f>
        <v>936.16</v>
      </c>
      <c r="N22" s="22">
        <f>SUM(N20:N21)</f>
        <v>12864.45</v>
      </c>
      <c r="O22" s="22">
        <f t="shared" ref="O22:R22" si="3">SUM(O20:O21)</f>
        <v>0.10065213479277997</v>
      </c>
      <c r="P22" s="22">
        <f t="shared" si="3"/>
        <v>20453.5</v>
      </c>
      <c r="Q22" s="22" t="s">
        <v>21</v>
      </c>
      <c r="R22" s="22">
        <f t="shared" si="3"/>
        <v>2.7812034504072423</v>
      </c>
    </row>
    <row r="23" spans="1:18" x14ac:dyDescent="0.2">
      <c r="A23" s="28"/>
    </row>
    <row r="24" spans="1:18" x14ac:dyDescent="0.2">
      <c r="A24" s="28" t="s">
        <v>37</v>
      </c>
    </row>
    <row r="25" spans="1:18" x14ac:dyDescent="0.2">
      <c r="A25" s="28" t="s">
        <v>38</v>
      </c>
    </row>
    <row r="26" spans="1:18" x14ac:dyDescent="0.2">
      <c r="A26" s="28" t="s">
        <v>39</v>
      </c>
    </row>
    <row r="27" spans="1:18" x14ac:dyDescent="0.2">
      <c r="A27" s="28" t="s">
        <v>40</v>
      </c>
    </row>
    <row r="28" spans="1:18" x14ac:dyDescent="0.2">
      <c r="A28" s="28" t="s">
        <v>41</v>
      </c>
    </row>
    <row r="29" spans="1:18" x14ac:dyDescent="0.2">
      <c r="A29" s="28"/>
    </row>
  </sheetData>
  <mergeCells count="24">
    <mergeCell ref="N3:R3"/>
    <mergeCell ref="N4:R4"/>
    <mergeCell ref="N5:R5"/>
    <mergeCell ref="N6:R6"/>
    <mergeCell ref="L15:L16"/>
    <mergeCell ref="M15:M16"/>
    <mergeCell ref="N15:O16"/>
    <mergeCell ref="R14:R16"/>
    <mergeCell ref="B15:B16"/>
    <mergeCell ref="C15:C16"/>
    <mergeCell ref="D15:D16"/>
    <mergeCell ref="A1:U1"/>
    <mergeCell ref="Q14:Q16"/>
    <mergeCell ref="G14:O14"/>
    <mergeCell ref="E15:F16"/>
    <mergeCell ref="G15:G16"/>
    <mergeCell ref="H15:H16"/>
    <mergeCell ref="I15:I16"/>
    <mergeCell ref="J15:J16"/>
    <mergeCell ref="A14:A16"/>
    <mergeCell ref="B14:F14"/>
    <mergeCell ref="K15:K16"/>
    <mergeCell ref="A11:R11"/>
    <mergeCell ref="A9:R9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8"/>
  <sheetViews>
    <sheetView topLeftCell="A2" zoomScale="90" zoomScaleNormal="90" workbookViewId="0">
      <selection activeCell="A20" sqref="A20"/>
    </sheetView>
  </sheetViews>
  <sheetFormatPr defaultRowHeight="14.25" x14ac:dyDescent="0.2"/>
  <cols>
    <col min="1" max="1" width="36.85546875" style="3" customWidth="1"/>
    <col min="2" max="3" width="10.85546875" style="3" customWidth="1"/>
    <col min="4" max="4" width="9.140625" style="3"/>
    <col min="5" max="5" width="11.42578125" style="3" customWidth="1"/>
    <col min="6" max="6" width="9.140625" style="3"/>
    <col min="7" max="9" width="10.5703125" style="3" customWidth="1"/>
    <col min="10" max="10" width="10.42578125" style="3" customWidth="1"/>
    <col min="11" max="11" width="9.140625" style="3"/>
    <col min="12" max="12" width="10.7109375" style="3" customWidth="1"/>
    <col min="13" max="13" width="9.140625" style="3"/>
    <col min="14" max="14" width="10.5703125" style="3" customWidth="1"/>
    <col min="15" max="15" width="8.85546875" style="3" customWidth="1"/>
    <col min="16" max="16" width="12.85546875" style="3" customWidth="1"/>
    <col min="17" max="18" width="11.140625" style="3" customWidth="1"/>
    <col min="19" max="16384" width="9.140625" style="3"/>
  </cols>
  <sheetData>
    <row r="1" spans="1:24" ht="33" x14ac:dyDescent="0.4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51"/>
      <c r="W1" s="51"/>
      <c r="X1" s="51"/>
    </row>
    <row r="3" spans="1:24" ht="17.25" customHeight="1" x14ac:dyDescent="0.25">
      <c r="K3" s="69"/>
      <c r="L3" s="69"/>
      <c r="M3" s="69"/>
      <c r="N3" s="69"/>
      <c r="O3" s="118" t="s">
        <v>79</v>
      </c>
      <c r="P3" s="112"/>
      <c r="Q3" s="112"/>
      <c r="R3" s="112"/>
    </row>
    <row r="4" spans="1:24" ht="17.25" customHeight="1" x14ac:dyDescent="0.25">
      <c r="K4" s="69"/>
      <c r="L4" s="69"/>
      <c r="M4" s="69"/>
      <c r="N4" s="69"/>
      <c r="O4" s="158" t="s">
        <v>78</v>
      </c>
      <c r="P4" s="158"/>
      <c r="Q4" s="158"/>
      <c r="R4" s="158"/>
      <c r="S4" s="158"/>
    </row>
    <row r="5" spans="1:24" ht="17.25" customHeight="1" x14ac:dyDescent="0.25">
      <c r="K5" s="71"/>
      <c r="L5" s="71"/>
      <c r="M5" s="71"/>
      <c r="N5" s="71"/>
      <c r="O5" s="158" t="s">
        <v>49</v>
      </c>
      <c r="P5" s="158"/>
      <c r="Q5" s="158"/>
      <c r="R5" s="158"/>
    </row>
    <row r="6" spans="1:24" ht="17.25" customHeight="1" x14ac:dyDescent="0.25">
      <c r="K6" s="70"/>
      <c r="L6" s="69"/>
      <c r="M6" s="69"/>
      <c r="N6" s="69"/>
      <c r="O6" s="157" t="s">
        <v>67</v>
      </c>
      <c r="P6" s="157"/>
      <c r="Q6" s="157"/>
      <c r="R6" s="157"/>
      <c r="S6" s="157"/>
    </row>
    <row r="9" spans="1:24" ht="18" x14ac:dyDescent="0.25">
      <c r="A9" s="154" t="s">
        <v>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4" ht="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4" ht="30" customHeight="1" x14ac:dyDescent="0.2">
      <c r="A11" s="156" t="s">
        <v>10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3" spans="1:24" ht="15" thickBot="1" x14ac:dyDescent="0.25"/>
    <row r="14" spans="1:24" ht="68.25" customHeight="1" thickBot="1" x14ac:dyDescent="0.25">
      <c r="A14" s="197" t="s">
        <v>0</v>
      </c>
      <c r="B14" s="199" t="s">
        <v>13</v>
      </c>
      <c r="C14" s="200"/>
      <c r="D14" s="200"/>
      <c r="E14" s="200"/>
      <c r="F14" s="200"/>
      <c r="G14" s="201" t="s">
        <v>14</v>
      </c>
      <c r="H14" s="202"/>
      <c r="I14" s="202"/>
      <c r="J14" s="202"/>
      <c r="K14" s="202"/>
      <c r="L14" s="202"/>
      <c r="M14" s="202"/>
      <c r="N14" s="202"/>
      <c r="O14" s="203"/>
      <c r="P14" s="74" t="s">
        <v>1</v>
      </c>
      <c r="Q14" s="204" t="s">
        <v>2</v>
      </c>
      <c r="R14" s="206" t="s">
        <v>24</v>
      </c>
    </row>
    <row r="15" spans="1:24" ht="22.5" customHeight="1" x14ac:dyDescent="0.2">
      <c r="A15" s="198"/>
      <c r="B15" s="167" t="s">
        <v>33</v>
      </c>
      <c r="C15" s="167" t="s">
        <v>3</v>
      </c>
      <c r="D15" s="167" t="s">
        <v>4</v>
      </c>
      <c r="E15" s="208" t="s">
        <v>50</v>
      </c>
      <c r="F15" s="209"/>
      <c r="G15" s="186" t="s">
        <v>35</v>
      </c>
      <c r="H15" s="168" t="s">
        <v>12</v>
      </c>
      <c r="I15" s="168" t="s">
        <v>15</v>
      </c>
      <c r="J15" s="168" t="s">
        <v>16</v>
      </c>
      <c r="K15" s="186" t="s">
        <v>17</v>
      </c>
      <c r="L15" s="191" t="s">
        <v>18</v>
      </c>
      <c r="M15" s="195" t="s">
        <v>19</v>
      </c>
      <c r="N15" s="187" t="s">
        <v>36</v>
      </c>
      <c r="O15" s="188"/>
      <c r="P15" s="75" t="s">
        <v>20</v>
      </c>
      <c r="Q15" s="186"/>
      <c r="R15" s="207"/>
    </row>
    <row r="16" spans="1:24" ht="78.75" customHeight="1" thickBot="1" x14ac:dyDescent="0.25">
      <c r="A16" s="198"/>
      <c r="B16" s="168"/>
      <c r="C16" s="168"/>
      <c r="D16" s="168"/>
      <c r="E16" s="186"/>
      <c r="F16" s="210"/>
      <c r="G16" s="186"/>
      <c r="H16" s="168"/>
      <c r="I16" s="168"/>
      <c r="J16" s="168"/>
      <c r="K16" s="186"/>
      <c r="L16" s="192"/>
      <c r="M16" s="196"/>
      <c r="N16" s="189"/>
      <c r="O16" s="190"/>
      <c r="P16" s="76"/>
      <c r="Q16" s="205"/>
      <c r="R16" s="207"/>
    </row>
    <row r="17" spans="1:18" ht="37.5" customHeight="1" thickBot="1" x14ac:dyDescent="0.25">
      <c r="A17" s="77"/>
      <c r="B17" s="78" t="s">
        <v>7</v>
      </c>
      <c r="C17" s="78" t="s">
        <v>7</v>
      </c>
      <c r="D17" s="78" t="s">
        <v>7</v>
      </c>
      <c r="E17" s="78" t="s">
        <v>7</v>
      </c>
      <c r="F17" s="79" t="s">
        <v>22</v>
      </c>
      <c r="G17" s="78" t="s">
        <v>7</v>
      </c>
      <c r="H17" s="78" t="s">
        <v>7</v>
      </c>
      <c r="I17" s="78" t="s">
        <v>7</v>
      </c>
      <c r="J17" s="78" t="s">
        <v>7</v>
      </c>
      <c r="K17" s="78" t="s">
        <v>7</v>
      </c>
      <c r="L17" s="78" t="s">
        <v>7</v>
      </c>
      <c r="M17" s="78" t="s">
        <v>7</v>
      </c>
      <c r="N17" s="78" t="s">
        <v>7</v>
      </c>
      <c r="O17" s="79" t="s">
        <v>23</v>
      </c>
      <c r="P17" s="80" t="s">
        <v>7</v>
      </c>
      <c r="Q17" s="81" t="s">
        <v>25</v>
      </c>
      <c r="R17" s="79" t="s">
        <v>26</v>
      </c>
    </row>
    <row r="18" spans="1:18" ht="19.5" customHeight="1" thickBot="1" x14ac:dyDescent="0.25">
      <c r="A18" s="82">
        <v>1</v>
      </c>
      <c r="B18" s="82">
        <v>2</v>
      </c>
      <c r="C18" s="82">
        <v>3</v>
      </c>
      <c r="D18" s="82">
        <v>4</v>
      </c>
      <c r="E18" s="82">
        <v>5</v>
      </c>
      <c r="F18" s="82">
        <v>6</v>
      </c>
      <c r="G18" s="82">
        <v>7</v>
      </c>
      <c r="H18" s="82">
        <v>8</v>
      </c>
      <c r="I18" s="82">
        <v>9</v>
      </c>
      <c r="J18" s="82">
        <v>10</v>
      </c>
      <c r="K18" s="82">
        <v>11</v>
      </c>
      <c r="L18" s="82">
        <v>12</v>
      </c>
      <c r="M18" s="82">
        <v>13</v>
      </c>
      <c r="N18" s="82">
        <v>14</v>
      </c>
      <c r="O18" s="82">
        <v>15</v>
      </c>
      <c r="P18" s="82">
        <v>16</v>
      </c>
      <c r="Q18" s="83">
        <v>17</v>
      </c>
      <c r="R18" s="84">
        <v>18</v>
      </c>
    </row>
    <row r="19" spans="1:18" ht="16.5" customHeight="1" x14ac:dyDescent="0.2">
      <c r="A19" s="90" t="s">
        <v>5</v>
      </c>
      <c r="B19" s="86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9"/>
    </row>
    <row r="20" spans="1:18" ht="39" thickBot="1" x14ac:dyDescent="0.25">
      <c r="A20" s="150" t="s">
        <v>105</v>
      </c>
      <c r="B20" s="63">
        <v>6096.82</v>
      </c>
      <c r="C20" s="63">
        <v>861.38</v>
      </c>
      <c r="D20" s="63">
        <v>11</v>
      </c>
      <c r="E20" s="64">
        <v>6969.2</v>
      </c>
      <c r="F20" s="65">
        <v>0.26334643288996373</v>
      </c>
      <c r="G20" s="63">
        <v>6849.78</v>
      </c>
      <c r="H20" s="63">
        <v>493.45</v>
      </c>
      <c r="I20" s="66">
        <v>309.87</v>
      </c>
      <c r="J20" s="63">
        <v>144</v>
      </c>
      <c r="K20" s="63">
        <v>103.58</v>
      </c>
      <c r="L20" s="66">
        <v>0</v>
      </c>
      <c r="M20" s="63">
        <v>522.37</v>
      </c>
      <c r="N20" s="63">
        <v>8423.0499999999993</v>
      </c>
      <c r="O20" s="65">
        <v>0.3182833282950423</v>
      </c>
      <c r="P20" s="63">
        <v>15392.25</v>
      </c>
      <c r="Q20" s="67">
        <v>26464</v>
      </c>
      <c r="R20" s="68">
        <v>0.58162976118500609</v>
      </c>
    </row>
    <row r="21" spans="1:18" ht="15" thickBot="1" x14ac:dyDescent="0.25">
      <c r="A21" s="91" t="s">
        <v>6</v>
      </c>
      <c r="B21" s="22">
        <f>SUM(B20:B20)</f>
        <v>6096.82</v>
      </c>
      <c r="C21" s="22">
        <f>SUM(C20:C20)</f>
        <v>861.38</v>
      </c>
      <c r="D21" s="22">
        <f>SUM(D20:D20)</f>
        <v>11</v>
      </c>
      <c r="E21" s="22">
        <f>SUM(E20:E20)</f>
        <v>6969.2</v>
      </c>
      <c r="F21" s="23">
        <f>E21/Q21</f>
        <v>0.26334643288996373</v>
      </c>
      <c r="G21" s="22">
        <f t="shared" ref="G21:N21" si="0">SUM(G20:G20)</f>
        <v>6849.78</v>
      </c>
      <c r="H21" s="22">
        <f t="shared" si="0"/>
        <v>493.45</v>
      </c>
      <c r="I21" s="24">
        <f t="shared" si="0"/>
        <v>309.87</v>
      </c>
      <c r="J21" s="24">
        <f t="shared" si="0"/>
        <v>144</v>
      </c>
      <c r="K21" s="22">
        <f t="shared" si="0"/>
        <v>103.58</v>
      </c>
      <c r="L21" s="24">
        <f t="shared" si="0"/>
        <v>0</v>
      </c>
      <c r="M21" s="22">
        <f t="shared" si="0"/>
        <v>522.37</v>
      </c>
      <c r="N21" s="22">
        <f t="shared" si="0"/>
        <v>8423.0499999999993</v>
      </c>
      <c r="O21" s="23">
        <f>N21/Q21</f>
        <v>0.3182833282950423</v>
      </c>
      <c r="P21" s="25">
        <f>SUM(P20:P20)</f>
        <v>15392.25</v>
      </c>
      <c r="Q21" s="26">
        <f>SUM(Q20:Q20)</f>
        <v>26464</v>
      </c>
      <c r="R21" s="27">
        <f>SUM(R20:R20)</f>
        <v>0.58162976118500609</v>
      </c>
    </row>
    <row r="22" spans="1:18" x14ac:dyDescent="0.2">
      <c r="A22" s="28"/>
    </row>
    <row r="23" spans="1:18" x14ac:dyDescent="0.2">
      <c r="A23" s="28" t="s">
        <v>37</v>
      </c>
    </row>
    <row r="24" spans="1:18" x14ac:dyDescent="0.2">
      <c r="A24" s="28" t="s">
        <v>38</v>
      </c>
    </row>
    <row r="25" spans="1:18" x14ac:dyDescent="0.2">
      <c r="A25" s="28" t="s">
        <v>39</v>
      </c>
    </row>
    <row r="26" spans="1:18" x14ac:dyDescent="0.2">
      <c r="A26" s="28" t="s">
        <v>40</v>
      </c>
    </row>
    <row r="27" spans="1:18" x14ac:dyDescent="0.2">
      <c r="A27" s="28" t="s">
        <v>41</v>
      </c>
    </row>
    <row r="28" spans="1:18" x14ac:dyDescent="0.2">
      <c r="A28" s="28"/>
    </row>
  </sheetData>
  <mergeCells count="23">
    <mergeCell ref="I15:I16"/>
    <mergeCell ref="J15:J16"/>
    <mergeCell ref="Q14:Q16"/>
    <mergeCell ref="G14:O14"/>
    <mergeCell ref="L15:L16"/>
    <mergeCell ref="M15:M16"/>
    <mergeCell ref="N15:O16"/>
    <mergeCell ref="O4:S4"/>
    <mergeCell ref="O5:R5"/>
    <mergeCell ref="A1:U1"/>
    <mergeCell ref="A14:A16"/>
    <mergeCell ref="B14:F14"/>
    <mergeCell ref="K15:K16"/>
    <mergeCell ref="A11:R11"/>
    <mergeCell ref="A9:R9"/>
    <mergeCell ref="R14:R16"/>
    <mergeCell ref="B15:B16"/>
    <mergeCell ref="C15:C16"/>
    <mergeCell ref="D15:D16"/>
    <mergeCell ref="E15:F16"/>
    <mergeCell ref="G15:G16"/>
    <mergeCell ref="H15:H16"/>
    <mergeCell ref="O6:S6"/>
  </mergeCells>
  <pageMargins left="0.78740157480314965" right="0.78740157480314965" top="0.39370078740157483" bottom="0.3937007874015748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view="pageBreakPreview" topLeftCell="A3" zoomScale="82" zoomScaleNormal="82" zoomScaleSheetLayoutView="82" workbookViewId="0">
      <selection activeCell="V8" sqref="V8"/>
    </sheetView>
  </sheetViews>
  <sheetFormatPr defaultColWidth="8.85546875" defaultRowHeight="14.25" x14ac:dyDescent="0.2"/>
  <cols>
    <col min="1" max="1" width="42.28515625" style="3" customWidth="1"/>
    <col min="2" max="2" width="13" style="3" customWidth="1"/>
    <col min="3" max="3" width="14.28515625" style="3" customWidth="1"/>
    <col min="4" max="4" width="12.28515625" style="3" customWidth="1"/>
    <col min="5" max="5" width="10.7109375" style="3" customWidth="1"/>
    <col min="6" max="6" width="9" style="3" bestFit="1" customWidth="1"/>
    <col min="7" max="7" width="12.5703125" style="3" customWidth="1"/>
    <col min="8" max="8" width="10.42578125" style="3" customWidth="1"/>
    <col min="9" max="9" width="11.42578125" style="3" customWidth="1"/>
    <col min="10" max="11" width="14.28515625" style="3" customWidth="1"/>
    <col min="12" max="12" width="13" style="3" customWidth="1"/>
    <col min="13" max="13" width="12.7109375" style="3" customWidth="1"/>
    <col min="14" max="14" width="11.28515625" style="3" customWidth="1"/>
    <col min="15" max="15" width="10.7109375" style="3" customWidth="1"/>
    <col min="16" max="16" width="14.42578125" style="3" customWidth="1"/>
    <col min="17" max="17" width="14.140625" style="3" customWidth="1"/>
    <col min="18" max="18" width="21.28515625" style="3" customWidth="1"/>
    <col min="19" max="19" width="0.140625" style="3" customWidth="1"/>
    <col min="20" max="20" width="8.85546875" style="3" hidden="1" customWidth="1"/>
    <col min="21" max="16384" width="8.85546875" style="3"/>
  </cols>
  <sheetData>
    <row r="1" spans="1:20" ht="15.75" hidden="1" customHeight="1" x14ac:dyDescent="0.2">
      <c r="A1" s="212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51"/>
      <c r="T1" s="151"/>
    </row>
    <row r="2" spans="1:20" s="151" customFormat="1" ht="15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20" s="151" customFormat="1" ht="18" customHeight="1" x14ac:dyDescent="0.3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52" t="s">
        <v>79</v>
      </c>
      <c r="Q3" s="152"/>
      <c r="R3" s="152"/>
      <c r="S3" s="152"/>
      <c r="T3" s="115"/>
    </row>
    <row r="4" spans="1:20" s="151" customFormat="1" ht="18" customHeight="1" x14ac:dyDescent="0.3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227" t="s">
        <v>78</v>
      </c>
      <c r="Q4" s="227"/>
      <c r="R4" s="227"/>
      <c r="S4" s="227"/>
      <c r="T4" s="115"/>
    </row>
    <row r="5" spans="1:20" s="151" customFormat="1" ht="18" customHeight="1" x14ac:dyDescent="0.3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227" t="s">
        <v>49</v>
      </c>
      <c r="Q5" s="227"/>
      <c r="R5" s="227"/>
      <c r="S5" s="227"/>
      <c r="T5" s="115"/>
    </row>
    <row r="6" spans="1:20" s="151" customFormat="1" ht="18" customHeight="1" x14ac:dyDescent="0.3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228" t="s">
        <v>67</v>
      </c>
      <c r="Q6" s="228"/>
      <c r="R6" s="228"/>
      <c r="S6" s="228"/>
      <c r="T6" s="228"/>
    </row>
    <row r="7" spans="1:20" s="151" customFormat="1" ht="18" customHeight="1" x14ac:dyDescent="0.3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52"/>
      <c r="Q7" s="152"/>
      <c r="R7" s="152"/>
      <c r="S7" s="152"/>
      <c r="T7" s="152"/>
    </row>
    <row r="8" spans="1:20" s="151" customFormat="1" ht="21" customHeight="1" x14ac:dyDescent="0.3">
      <c r="A8" s="229" t="s">
        <v>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</row>
    <row r="9" spans="1:20" s="151" customFormat="1" ht="42" customHeight="1" x14ac:dyDescent="0.2">
      <c r="A9" s="214" t="s">
        <v>72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</row>
    <row r="10" spans="1:20" s="151" customFormat="1" ht="15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20" s="151" customFormat="1" ht="45.2" customHeight="1" thickBot="1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20" s="151" customFormat="1" ht="49.5" customHeight="1" thickBot="1" x14ac:dyDescent="0.25">
      <c r="A12" s="215" t="s">
        <v>0</v>
      </c>
      <c r="B12" s="217" t="s">
        <v>13</v>
      </c>
      <c r="C12" s="218"/>
      <c r="D12" s="218"/>
      <c r="E12" s="218"/>
      <c r="F12" s="218"/>
      <c r="G12" s="219" t="s">
        <v>14</v>
      </c>
      <c r="H12" s="220"/>
      <c r="I12" s="220"/>
      <c r="J12" s="220"/>
      <c r="K12" s="220"/>
      <c r="L12" s="220"/>
      <c r="M12" s="220"/>
      <c r="N12" s="220"/>
      <c r="O12" s="221"/>
      <c r="P12" s="232" t="s">
        <v>66</v>
      </c>
      <c r="Q12" s="222" t="s">
        <v>2</v>
      </c>
      <c r="R12" s="224" t="s">
        <v>58</v>
      </c>
    </row>
    <row r="13" spans="1:20" s="151" customFormat="1" ht="16.5" hidden="1" customHeight="1" thickBot="1" x14ac:dyDescent="0.25">
      <c r="A13" s="216"/>
      <c r="B13" s="215" t="s">
        <v>59</v>
      </c>
      <c r="C13" s="215" t="s">
        <v>3</v>
      </c>
      <c r="D13" s="215" t="s">
        <v>4</v>
      </c>
      <c r="E13" s="222" t="s">
        <v>80</v>
      </c>
      <c r="F13" s="235"/>
      <c r="G13" s="216" t="s">
        <v>60</v>
      </c>
      <c r="H13" s="223" t="s">
        <v>12</v>
      </c>
      <c r="I13" s="216" t="s">
        <v>15</v>
      </c>
      <c r="J13" s="216" t="s">
        <v>61</v>
      </c>
      <c r="K13" s="216" t="s">
        <v>17</v>
      </c>
      <c r="L13" s="216" t="s">
        <v>18</v>
      </c>
      <c r="M13" s="223" t="s">
        <v>62</v>
      </c>
      <c r="N13" s="238" t="s">
        <v>81</v>
      </c>
      <c r="O13" s="239"/>
      <c r="P13" s="233"/>
      <c r="Q13" s="223"/>
      <c r="R13" s="225"/>
    </row>
    <row r="14" spans="1:20" s="151" customFormat="1" ht="136.15" customHeight="1" thickBot="1" x14ac:dyDescent="0.25">
      <c r="A14" s="216"/>
      <c r="B14" s="216"/>
      <c r="C14" s="216"/>
      <c r="D14" s="216"/>
      <c r="E14" s="223"/>
      <c r="F14" s="236"/>
      <c r="G14" s="216"/>
      <c r="H14" s="223"/>
      <c r="I14" s="237"/>
      <c r="J14" s="237"/>
      <c r="K14" s="216"/>
      <c r="L14" s="216"/>
      <c r="M14" s="223"/>
      <c r="N14" s="240"/>
      <c r="O14" s="241"/>
      <c r="P14" s="234"/>
      <c r="Q14" s="223"/>
      <c r="R14" s="226"/>
    </row>
    <row r="15" spans="1:20" s="151" customFormat="1" ht="34.5" customHeight="1" thickBot="1" x14ac:dyDescent="0.25">
      <c r="A15" s="121"/>
      <c r="B15" s="122" t="s">
        <v>7</v>
      </c>
      <c r="C15" s="122" t="s">
        <v>7</v>
      </c>
      <c r="D15" s="122" t="s">
        <v>7</v>
      </c>
      <c r="E15" s="122" t="s">
        <v>7</v>
      </c>
      <c r="F15" s="123" t="s">
        <v>28</v>
      </c>
      <c r="G15" s="122" t="s">
        <v>7</v>
      </c>
      <c r="H15" s="122" t="s">
        <v>7</v>
      </c>
      <c r="I15" s="122" t="s">
        <v>7</v>
      </c>
      <c r="J15" s="122" t="s">
        <v>7</v>
      </c>
      <c r="K15" s="122" t="s">
        <v>7</v>
      </c>
      <c r="L15" s="122" t="s">
        <v>7</v>
      </c>
      <c r="M15" s="122" t="s">
        <v>7</v>
      </c>
      <c r="N15" s="122" t="s">
        <v>7</v>
      </c>
      <c r="O15" s="123" t="s">
        <v>29</v>
      </c>
      <c r="P15" s="122" t="s">
        <v>7</v>
      </c>
      <c r="Q15" s="124" t="s">
        <v>63</v>
      </c>
      <c r="R15" s="125" t="s">
        <v>64</v>
      </c>
    </row>
    <row r="16" spans="1:20" s="151" customFormat="1" ht="18" customHeight="1" thickBot="1" x14ac:dyDescent="0.25">
      <c r="A16" s="126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  <c r="G16" s="126">
        <v>7</v>
      </c>
      <c r="H16" s="126">
        <v>8</v>
      </c>
      <c r="I16" s="126">
        <v>9</v>
      </c>
      <c r="J16" s="126">
        <v>10</v>
      </c>
      <c r="K16" s="126">
        <v>11</v>
      </c>
      <c r="L16" s="126">
        <v>12</v>
      </c>
      <c r="M16" s="126">
        <v>13</v>
      </c>
      <c r="N16" s="126">
        <v>14</v>
      </c>
      <c r="O16" s="126">
        <v>15</v>
      </c>
      <c r="P16" s="126">
        <v>16</v>
      </c>
      <c r="Q16" s="126">
        <v>17</v>
      </c>
      <c r="R16" s="127">
        <v>18</v>
      </c>
    </row>
    <row r="17" spans="1:20" s="151" customFormat="1" ht="24" customHeight="1" x14ac:dyDescent="0.2">
      <c r="A17" s="128" t="s">
        <v>5</v>
      </c>
      <c r="B17" s="129"/>
      <c r="C17" s="129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20" s="151" customFormat="1" ht="62.25" customHeight="1" x14ac:dyDescent="0.2">
      <c r="A18" s="242" t="s">
        <v>73</v>
      </c>
      <c r="B18" s="243">
        <v>8704</v>
      </c>
      <c r="C18" s="244">
        <v>60</v>
      </c>
      <c r="D18" s="243">
        <v>0</v>
      </c>
      <c r="E18" s="245">
        <v>8764</v>
      </c>
      <c r="F18" s="246">
        <v>438.2</v>
      </c>
      <c r="G18" s="247">
        <v>0</v>
      </c>
      <c r="H18" s="243">
        <v>21.14</v>
      </c>
      <c r="I18" s="243">
        <v>0</v>
      </c>
      <c r="J18" s="243">
        <v>0</v>
      </c>
      <c r="K18" s="243">
        <v>1.7</v>
      </c>
      <c r="L18" s="243">
        <v>0</v>
      </c>
      <c r="M18" s="243">
        <v>3.05</v>
      </c>
      <c r="N18" s="244">
        <v>25.89</v>
      </c>
      <c r="O18" s="248">
        <v>1.2945</v>
      </c>
      <c r="P18" s="243">
        <v>8789.89</v>
      </c>
      <c r="Q18" s="249">
        <v>20</v>
      </c>
      <c r="R18" s="243">
        <f>P18/Q18</f>
        <v>439.49449999999996</v>
      </c>
    </row>
    <row r="19" spans="1:20" s="151" customFormat="1" ht="62.25" customHeight="1" x14ac:dyDescent="0.2">
      <c r="A19" s="131" t="s">
        <v>106</v>
      </c>
      <c r="B19" s="243">
        <v>3830.96</v>
      </c>
      <c r="C19" s="243">
        <v>155.38</v>
      </c>
      <c r="D19" s="243">
        <v>364.64</v>
      </c>
      <c r="E19" s="245">
        <v>4350.9800000000005</v>
      </c>
      <c r="F19" s="246">
        <v>79.108727272727279</v>
      </c>
      <c r="G19" s="247">
        <v>11897.19</v>
      </c>
      <c r="H19" s="243">
        <v>1157.06</v>
      </c>
      <c r="I19" s="243">
        <v>0</v>
      </c>
      <c r="J19" s="243">
        <v>0</v>
      </c>
      <c r="K19" s="243">
        <v>48.45</v>
      </c>
      <c r="L19" s="243">
        <v>0</v>
      </c>
      <c r="M19" s="243">
        <v>368.87</v>
      </c>
      <c r="N19" s="244">
        <v>13471.570000000002</v>
      </c>
      <c r="O19" s="248">
        <v>244.93763636363639</v>
      </c>
      <c r="P19" s="243">
        <v>17822.550000000003</v>
      </c>
      <c r="Q19" s="249">
        <v>55</v>
      </c>
      <c r="R19" s="243">
        <f t="shared" ref="R19:R23" si="0">P19/Q19</f>
        <v>324.04636363636371</v>
      </c>
    </row>
    <row r="20" spans="1:20" s="151" customFormat="1" ht="62.25" customHeight="1" x14ac:dyDescent="0.2">
      <c r="A20" s="131" t="s">
        <v>74</v>
      </c>
      <c r="B20" s="243">
        <v>864.21</v>
      </c>
      <c r="C20" s="243">
        <v>0</v>
      </c>
      <c r="D20" s="243">
        <v>23.7</v>
      </c>
      <c r="E20" s="245">
        <v>887.91000000000008</v>
      </c>
      <c r="F20" s="246">
        <v>9.9485714285714288E-2</v>
      </c>
      <c r="G20" s="247">
        <v>0</v>
      </c>
      <c r="H20" s="243">
        <v>40.67</v>
      </c>
      <c r="I20" s="243">
        <v>0</v>
      </c>
      <c r="J20" s="243">
        <v>0</v>
      </c>
      <c r="K20" s="243">
        <v>47.55</v>
      </c>
      <c r="L20" s="243">
        <v>0</v>
      </c>
      <c r="M20" s="243">
        <v>2.5</v>
      </c>
      <c r="N20" s="244">
        <v>90.72</v>
      </c>
      <c r="O20" s="246">
        <v>1.016470588235294E-2</v>
      </c>
      <c r="P20" s="243">
        <v>978.63000000000011</v>
      </c>
      <c r="Q20" s="249">
        <v>8925</v>
      </c>
      <c r="R20" s="243">
        <f t="shared" si="0"/>
        <v>0.10965042016806724</v>
      </c>
      <c r="S20" s="132"/>
      <c r="T20" s="132"/>
    </row>
    <row r="21" spans="1:20" s="151" customFormat="1" ht="62.25" customHeight="1" x14ac:dyDescent="0.2">
      <c r="A21" s="131" t="s">
        <v>75</v>
      </c>
      <c r="B21" s="243">
        <v>2718.13</v>
      </c>
      <c r="C21" s="243">
        <v>0</v>
      </c>
      <c r="D21" s="243">
        <v>0</v>
      </c>
      <c r="E21" s="245">
        <v>2718.13</v>
      </c>
      <c r="F21" s="246">
        <v>0.31394432894432894</v>
      </c>
      <c r="G21" s="247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6">
        <v>0</v>
      </c>
      <c r="P21" s="243">
        <v>2718.13</v>
      </c>
      <c r="Q21" s="249">
        <v>23</v>
      </c>
      <c r="R21" s="243">
        <f t="shared" si="0"/>
        <v>118.17956521739131</v>
      </c>
      <c r="S21" s="132"/>
      <c r="T21" s="132"/>
    </row>
    <row r="22" spans="1:20" s="151" customFormat="1" ht="89.25" customHeight="1" x14ac:dyDescent="0.2">
      <c r="A22" s="131" t="s">
        <v>76</v>
      </c>
      <c r="B22" s="243">
        <v>864.21</v>
      </c>
      <c r="C22" s="243">
        <v>0</v>
      </c>
      <c r="D22" s="243">
        <v>25.83</v>
      </c>
      <c r="E22" s="245">
        <v>890.04000000000008</v>
      </c>
      <c r="F22" s="246">
        <v>5.2049122807017546E-2</v>
      </c>
      <c r="G22" s="247">
        <v>0</v>
      </c>
      <c r="H22" s="243">
        <v>19.87</v>
      </c>
      <c r="I22" s="243">
        <v>0</v>
      </c>
      <c r="J22" s="243">
        <v>0</v>
      </c>
      <c r="K22" s="243">
        <v>27.15</v>
      </c>
      <c r="L22" s="243">
        <v>0</v>
      </c>
      <c r="M22" s="243">
        <v>27.79</v>
      </c>
      <c r="N22" s="244">
        <v>74.81</v>
      </c>
      <c r="O22" s="246">
        <v>4.3748538011695905E-3</v>
      </c>
      <c r="P22" s="243">
        <v>964.85000000000014</v>
      </c>
      <c r="Q22" s="249">
        <v>17100</v>
      </c>
      <c r="R22" s="243">
        <f t="shared" si="0"/>
        <v>5.642397660818714E-2</v>
      </c>
      <c r="S22" s="132"/>
      <c r="T22" s="132"/>
    </row>
    <row r="23" spans="1:20" s="151" customFormat="1" ht="73.5" customHeight="1" x14ac:dyDescent="0.2">
      <c r="A23" s="133" t="s">
        <v>77</v>
      </c>
      <c r="B23" s="247">
        <v>864.21</v>
      </c>
      <c r="C23" s="243">
        <v>0</v>
      </c>
      <c r="D23" s="243">
        <v>25.83</v>
      </c>
      <c r="E23" s="245">
        <v>890.04000000000008</v>
      </c>
      <c r="F23" s="246">
        <v>4.4502000000000006</v>
      </c>
      <c r="G23" s="247">
        <v>0</v>
      </c>
      <c r="H23" s="243">
        <v>19.87</v>
      </c>
      <c r="I23" s="243">
        <v>0</v>
      </c>
      <c r="J23" s="243">
        <v>0</v>
      </c>
      <c r="K23" s="243">
        <v>27.15</v>
      </c>
      <c r="L23" s="243">
        <v>0</v>
      </c>
      <c r="M23" s="243">
        <v>27.79</v>
      </c>
      <c r="N23" s="244">
        <v>74.81</v>
      </c>
      <c r="O23" s="248">
        <v>0.37404999999999999</v>
      </c>
      <c r="P23" s="243">
        <v>964.85000000000014</v>
      </c>
      <c r="Q23" s="249">
        <v>200</v>
      </c>
      <c r="R23" s="243">
        <f t="shared" si="0"/>
        <v>4.824250000000001</v>
      </c>
      <c r="S23" s="132"/>
      <c r="T23" s="132"/>
    </row>
    <row r="24" spans="1:20" s="151" customFormat="1" ht="15.75" thickBot="1" x14ac:dyDescent="0.25">
      <c r="A24" s="134" t="s">
        <v>65</v>
      </c>
      <c r="B24" s="135">
        <f>SUM(B18:B23)</f>
        <v>17845.719999999998</v>
      </c>
      <c r="C24" s="135">
        <f>SUM(C18:C23)</f>
        <v>215.38</v>
      </c>
      <c r="D24" s="135">
        <f>SUM(D18:D23)</f>
        <v>439.99999999999994</v>
      </c>
      <c r="E24" s="135">
        <f>SUM(E18:E23)</f>
        <v>18501.100000000002</v>
      </c>
      <c r="F24" s="135">
        <f>SUM(F18:F23)</f>
        <v>522.22440643876439</v>
      </c>
      <c r="G24" s="135">
        <f>SUM(G18:G23)</f>
        <v>11897.19</v>
      </c>
      <c r="H24" s="135">
        <f t="shared" ref="H24:O24" si="1">SUM(H18:H23)</f>
        <v>1258.6099999999999</v>
      </c>
      <c r="I24" s="135">
        <f t="shared" si="1"/>
        <v>0</v>
      </c>
      <c r="J24" s="135">
        <f t="shared" si="1"/>
        <v>0</v>
      </c>
      <c r="K24" s="135">
        <f t="shared" si="1"/>
        <v>152</v>
      </c>
      <c r="L24" s="135">
        <f t="shared" si="1"/>
        <v>0</v>
      </c>
      <c r="M24" s="135">
        <f t="shared" si="1"/>
        <v>430.00000000000006</v>
      </c>
      <c r="N24" s="135">
        <f t="shared" si="1"/>
        <v>13737.8</v>
      </c>
      <c r="O24" s="135">
        <f t="shared" si="1"/>
        <v>246.62072592331992</v>
      </c>
      <c r="P24" s="135">
        <f>SUM(P18:P23)</f>
        <v>32238.9</v>
      </c>
      <c r="Q24" s="135">
        <f>SUM(Q18:Q23)</f>
        <v>26323</v>
      </c>
      <c r="R24" s="135">
        <f>SUM(R18:R23)</f>
        <v>886.7107532505313</v>
      </c>
      <c r="S24" s="132"/>
      <c r="T24" s="132"/>
    </row>
    <row r="25" spans="1:20" s="151" customFormat="1" ht="18" x14ac:dyDescent="0.2">
      <c r="A25" s="136" t="s">
        <v>82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2"/>
      <c r="T25" s="132"/>
    </row>
    <row r="26" spans="1:20" s="151" customFormat="1" ht="42.6" customHeight="1" x14ac:dyDescent="0.2">
      <c r="A26" s="136" t="s">
        <v>83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20" s="151" customFormat="1" ht="18" x14ac:dyDescent="0.2">
      <c r="A27" s="136" t="s">
        <v>84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51" customFormat="1" ht="18" x14ac:dyDescent="0.2">
      <c r="A28" s="136" t="s">
        <v>85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20" s="151" customFormat="1" ht="18" x14ac:dyDescent="0.2">
      <c r="A29" s="136" t="s">
        <v>86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20" s="151" customFormat="1" ht="15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20" s="151" customFormat="1" ht="15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20" s="230" customFormat="1" ht="27" customHeight="1" x14ac:dyDescent="0.25"/>
    <row r="33" s="230" customFormat="1" ht="46.5" hidden="1" customHeight="1" x14ac:dyDescent="0.25"/>
    <row r="34" s="231" customFormat="1" ht="15" hidden="1" x14ac:dyDescent="0.2"/>
    <row r="35" s="151" customFormat="1" ht="15" x14ac:dyDescent="0.2"/>
  </sheetData>
  <mergeCells count="27">
    <mergeCell ref="A32:XFD32"/>
    <mergeCell ref="A33:XFD33"/>
    <mergeCell ref="A34:XFD34"/>
    <mergeCell ref="P12:P14"/>
    <mergeCell ref="E13:F14"/>
    <mergeCell ref="G13:G14"/>
    <mergeCell ref="H13:H14"/>
    <mergeCell ref="I13:I14"/>
    <mergeCell ref="J13:J14"/>
    <mergeCell ref="K13:K14"/>
    <mergeCell ref="L13:L14"/>
    <mergeCell ref="M13:M14"/>
    <mergeCell ref="N13:O14"/>
    <mergeCell ref="A1:R1"/>
    <mergeCell ref="A9:R9"/>
    <mergeCell ref="A12:A14"/>
    <mergeCell ref="B12:F12"/>
    <mergeCell ref="G12:O12"/>
    <mergeCell ref="Q12:Q14"/>
    <mergeCell ref="R12:R14"/>
    <mergeCell ref="B13:B14"/>
    <mergeCell ref="C13:C14"/>
    <mergeCell ref="D13:D14"/>
    <mergeCell ref="P4:S4"/>
    <mergeCell ref="P5:S5"/>
    <mergeCell ref="P6:T6"/>
    <mergeCell ref="A8:R8"/>
  </mergeCells>
  <pageMargins left="0.78740157480314965" right="3.937007874015748E-2" top="0.55118110236220474" bottom="0.55118110236220474" header="0.11811023622047245" footer="0.11811023622047245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 АЛЕНУШКА</vt:lpstr>
      <vt:lpstr>Приложение 4 ДШИ </vt:lpstr>
      <vt:lpstr>Приложение 5 ДЮСШ</vt:lpstr>
      <vt:lpstr>Приложение 6 СЮТ</vt:lpstr>
      <vt:lpstr>Приложение 7 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2023-01-09T04:52:14Z</dcterms:modified>
</cp:coreProperties>
</file>