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\Нормативные затраты ДШИ\"/>
    </mc:Choice>
  </mc:AlternateContent>
  <bookViews>
    <workbookView xWindow="480" yWindow="75" windowWidth="27795" windowHeight="12075"/>
  </bookViews>
  <sheets>
    <sheet name="Приложение 4 ДМШ " sheetId="1" r:id="rId1"/>
  </sheets>
  <calcPr calcId="162913"/>
</workbook>
</file>

<file path=xl/calcChain.xml><?xml version="1.0" encoding="utf-8"?>
<calcChain xmlns="http://schemas.openxmlformats.org/spreadsheetml/2006/main">
  <c r="Q26" i="1" l="1"/>
  <c r="L26" i="1"/>
  <c r="I26" i="1"/>
  <c r="N25" i="1"/>
  <c r="O25" i="1" s="1"/>
  <c r="E25" i="1"/>
  <c r="F25" i="1" s="1"/>
  <c r="M24" i="1"/>
  <c r="K24" i="1"/>
  <c r="J24" i="1"/>
  <c r="H24" i="1"/>
  <c r="G24" i="1"/>
  <c r="D24" i="1"/>
  <c r="C24" i="1"/>
  <c r="B24" i="1"/>
  <c r="M23" i="1"/>
  <c r="K23" i="1"/>
  <c r="J23" i="1"/>
  <c r="H23" i="1"/>
  <c r="G23" i="1"/>
  <c r="D23" i="1"/>
  <c r="C23" i="1"/>
  <c r="B23" i="1"/>
  <c r="M22" i="1"/>
  <c r="K22" i="1"/>
  <c r="J22" i="1"/>
  <c r="H22" i="1"/>
  <c r="G22" i="1"/>
  <c r="D22" i="1"/>
  <c r="E22" i="1" s="1"/>
  <c r="C22" i="1"/>
  <c r="B22" i="1"/>
  <c r="M21" i="1"/>
  <c r="K21" i="1"/>
  <c r="J21" i="1"/>
  <c r="H21" i="1"/>
  <c r="G21" i="1"/>
  <c r="D21" i="1"/>
  <c r="C21" i="1"/>
  <c r="B21" i="1"/>
  <c r="M20" i="1"/>
  <c r="K20" i="1"/>
  <c r="J20" i="1"/>
  <c r="H20" i="1"/>
  <c r="G20" i="1"/>
  <c r="D20" i="1"/>
  <c r="C20" i="1"/>
  <c r="B20" i="1"/>
  <c r="M19" i="1"/>
  <c r="K19" i="1"/>
  <c r="J19" i="1"/>
  <c r="H19" i="1"/>
  <c r="H26" i="1" s="1"/>
  <c r="G19" i="1"/>
  <c r="D19" i="1"/>
  <c r="C19" i="1"/>
  <c r="B19" i="1"/>
  <c r="B26" i="1" s="1"/>
  <c r="N20" i="1" l="1"/>
  <c r="O20" i="1" s="1"/>
  <c r="N21" i="1"/>
  <c r="O21" i="1" s="1"/>
  <c r="E20" i="1"/>
  <c r="C26" i="1"/>
  <c r="E21" i="1"/>
  <c r="E24" i="1"/>
  <c r="F24" i="1" s="1"/>
  <c r="D26" i="1"/>
  <c r="N24" i="1"/>
  <c r="O24" i="1" s="1"/>
  <c r="N19" i="1"/>
  <c r="O19" i="1" s="1"/>
  <c r="M26" i="1"/>
  <c r="K26" i="1"/>
  <c r="E23" i="1"/>
  <c r="P25" i="1"/>
  <c r="R25" i="1" s="1"/>
  <c r="J26" i="1"/>
  <c r="N22" i="1"/>
  <c r="O22" i="1" s="1"/>
  <c r="N23" i="1"/>
  <c r="O23" i="1" s="1"/>
  <c r="E19" i="1"/>
  <c r="G26" i="1"/>
  <c r="F20" i="1"/>
  <c r="F22" i="1"/>
  <c r="P21" i="1" l="1"/>
  <c r="R21" i="1" s="1"/>
  <c r="F21" i="1"/>
  <c r="P20" i="1"/>
  <c r="R20" i="1" s="1"/>
  <c r="P23" i="1"/>
  <c r="R23" i="1" s="1"/>
  <c r="P22" i="1"/>
  <c r="R22" i="1" s="1"/>
  <c r="F23" i="1"/>
  <c r="N26" i="1"/>
  <c r="O26" i="1" s="1"/>
  <c r="P24" i="1"/>
  <c r="R24" i="1" s="1"/>
  <c r="E26" i="1"/>
  <c r="F26" i="1" s="1"/>
  <c r="P19" i="1"/>
  <c r="F19" i="1"/>
  <c r="R19" i="1" l="1"/>
  <c r="P26" i="1"/>
  <c r="R26" i="1" s="1"/>
</calcChain>
</file>

<file path=xl/sharedStrings.xml><?xml version="1.0" encoding="utf-8"?>
<sst xmlns="http://schemas.openxmlformats.org/spreadsheetml/2006/main" count="56" uniqueCount="44">
  <si>
    <t>к постановлению администрации</t>
  </si>
  <si>
    <t>городского округа ЗАТО Свободный</t>
  </si>
  <si>
    <t>РАСЧЕТ НОРМАТИВНЫХ ЗАТРАТ, СВЯЗАННЫХ С ОКАЗАНИЕМ МУНИЦИПАЛЬНЫХ УСЛУГ</t>
  </si>
  <si>
    <t>Наименование муниципальной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</si>
  <si>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</si>
  <si>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</si>
  <si>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t>Объем муниципальных услуг</t>
  </si>
  <si>
    <t>Нормативные затраты на единицу оказания муниципальной услуги 5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</si>
  <si>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Liberation Serif"/>
        <family val="1"/>
        <charset val="204"/>
      </rPr>
      <t>1</t>
    </r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</si>
  <si>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</si>
  <si>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</si>
  <si>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2</t>
    </r>
    <r>
      <rPr>
        <sz val="10"/>
        <color theme="1"/>
        <rFont val="Liberation Serif"/>
        <family val="1"/>
        <charset val="204"/>
      </rPr>
      <t xml:space="preserve"> </t>
    </r>
  </si>
  <si>
    <r>
      <t>Оплата труда с начисленими на выплаты по оплате труда</t>
    </r>
    <r>
      <rPr>
        <vertAlign val="superscript"/>
        <sz val="10"/>
        <color theme="1"/>
        <rFont val="Liberation Serif"/>
        <family val="1"/>
        <charset val="204"/>
      </rPr>
      <t>3</t>
    </r>
  </si>
  <si>
    <t>Коммунальные услуги</t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</si>
  <si>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</si>
  <si>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</si>
  <si>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</si>
  <si>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</si>
  <si>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</si>
  <si>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r>
      <t>ВСЕГО</t>
    </r>
    <r>
      <rPr>
        <vertAlign val="superscript"/>
        <sz val="10"/>
        <color theme="1"/>
        <rFont val="Liberation Serif"/>
        <family val="1"/>
        <charset val="204"/>
      </rPr>
      <t>4</t>
    </r>
  </si>
  <si>
    <t>тыс.руб.</t>
  </si>
  <si>
    <t xml:space="preserve">
гр.5/гр.17</t>
  </si>
  <si>
    <t xml:space="preserve">
гр.14/гр.17</t>
  </si>
  <si>
    <t>единиц
(чел.-час)</t>
  </si>
  <si>
    <t>тыс.руб. 
на
единицу</t>
  </si>
  <si>
    <t xml:space="preserve">Очередной финансовый год </t>
  </si>
  <si>
    <t>Реализация дополнительных общеобразовательных предпрофессиональных программ в области искусств
 (801012О.99.0.ББ56АЕ20001 - 
духовые и ударные инструменты)</t>
  </si>
  <si>
    <t>Реализация дополнительных общеобразовательных предпрофессиональных программ в области искусств 
(801012О.99.0.ББ56АВ76000 - 
Струнные инструменты)</t>
  </si>
  <si>
    <t>Реализация дополнительных общеобразовательных предпрофессиональных программ в области искусств 
(801012О.99.0.ББ56АА32001 - 
Фортепиано)</t>
  </si>
  <si>
    <t>Реализация дополнительных общеобразовательных предпрофессиональных программ в области искусств 
(801012О.99.0.ББ56АЕ84001 - 
Народные инструменты)</t>
  </si>
  <si>
    <t>Реализация дополнительных общеразвивающих программ (804200О.99.0.ББ52АЖ48000)</t>
  </si>
  <si>
    <t>ИТОГО</t>
  </si>
  <si>
    <r>
      <t>1.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Liberation Serif"/>
        <family val="1"/>
        <charset val="204"/>
      </rPr>
      <t>.</t>
    </r>
  </si>
  <si>
    <r>
      <t>2.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 5 = гр.2+гр.3+гр.4</t>
    </r>
  </si>
  <si>
    <r>
      <t>3.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Liberation Serif"/>
        <family val="1"/>
        <charset val="204"/>
      </rPr>
      <t>персоналу  не занятому непосредственно в процессе оказания муниципальных услуг.</t>
    </r>
  </si>
  <si>
    <r>
      <t>4.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 14 = гр.7+гр.8+гр.9+гр.10+гр.11+гр.12+гр.13</t>
    </r>
  </si>
  <si>
    <r>
      <t>5.</t>
    </r>
    <r>
      <rPr>
        <vertAlign val="superscript"/>
        <sz val="7"/>
        <color theme="1"/>
        <rFont val="Liberation Serif"/>
        <family val="1"/>
        <charset val="204"/>
      </rPr>
      <t xml:space="preserve">         </t>
    </r>
    <r>
      <rPr>
        <sz val="10"/>
        <color theme="1"/>
        <rFont val="Liberation Serif"/>
        <family val="1"/>
        <charset val="204"/>
      </rPr>
      <t>Гр.16/гр.17.</t>
    </r>
  </si>
  <si>
    <t xml:space="preserve">                  </t>
  </si>
  <si>
    <t>Муниципальным бюджетным учреждением дополнительного образования "Детская школа искусств"</t>
  </si>
  <si>
    <t>Приложение</t>
  </si>
  <si>
    <t>Реализация дополнительных общеобразовательных предпрофессиональных программ в области искусств 
(802112О.99.0.ББ55АЕ84000 - Хореографическое творчество)</t>
  </si>
  <si>
    <t>Реализация дополнительных общеобразовательных предпрофессиональных программ в области искусств 
( 802112О.99.0.ББ55АД72000 - Декоративно - прикладное творчество)</t>
  </si>
  <si>
    <t>Итого затраты учреждения на оказание муниципальных услуг (гр.5+гр.14)</t>
  </si>
  <si>
    <t>от "15" сентября 2022 года №_526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</si>
</sst>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vertAlign val="superscript"/>
      <sz val="10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7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 applyAlignment="1">
      <alignment horizontal="center" vertical="center" wrapText="1"/>
    </xf>
    <xf numFmtId="164" fontId="9" fillId="2" borderId="35" xfId="1" applyFont="1" applyFill="1" applyBorder="1" applyAlignment="1">
      <alignment horizontal="center" vertical="center" wrapText="1"/>
    </xf>
    <xf numFmtId="2" fontId="9" fillId="2" borderId="38" xfId="1" applyNumberFormat="1" applyFont="1" applyFill="1" applyBorder="1" applyAlignment="1">
      <alignment horizontal="center" vertical="center" wrapText="1"/>
    </xf>
    <xf numFmtId="165" fontId="9" fillId="2" borderId="39" xfId="1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2"/>
    </xf>
    <xf numFmtId="0" fontId="6" fillId="0" borderId="46" xfId="0" applyFont="1" applyBorder="1" applyAlignment="1">
      <alignment horizontal="center" vertical="center" wrapText="1"/>
    </xf>
    <xf numFmtId="164" fontId="9" fillId="2" borderId="41" xfId="1" applyFont="1" applyFill="1" applyBorder="1" applyAlignment="1">
      <alignment horizontal="center" vertical="center" wrapText="1"/>
    </xf>
    <xf numFmtId="164" fontId="9" fillId="2" borderId="47" xfId="1" applyFont="1" applyFill="1" applyBorder="1" applyAlignment="1">
      <alignment horizontal="center" vertical="center" wrapText="1"/>
    </xf>
    <xf numFmtId="2" fontId="9" fillId="2" borderId="47" xfId="1" applyNumberFormat="1" applyFont="1" applyFill="1" applyBorder="1" applyAlignment="1">
      <alignment horizontal="center" vertical="center" wrapText="1"/>
    </xf>
    <xf numFmtId="165" fontId="9" fillId="2" borderId="48" xfId="1" applyNumberFormat="1" applyFont="1" applyFill="1" applyBorder="1" applyAlignment="1">
      <alignment vertical="center" wrapText="1"/>
    </xf>
    <xf numFmtId="164" fontId="9" fillId="2" borderId="43" xfId="1" applyNumberFormat="1" applyFont="1" applyFill="1" applyBorder="1" applyAlignment="1">
      <alignment horizontal="center" vertical="center" wrapText="1"/>
    </xf>
    <xf numFmtId="164" fontId="9" fillId="2" borderId="43" xfId="1" applyNumberFormat="1" applyFont="1" applyFill="1" applyBorder="1" applyAlignment="1">
      <alignment horizontal="center" vertical="center"/>
    </xf>
    <xf numFmtId="2" fontId="9" fillId="2" borderId="43" xfId="1" applyNumberFormat="1" applyFont="1" applyFill="1" applyBorder="1" applyAlignment="1">
      <alignment horizontal="center" vertical="center" wrapText="1"/>
    </xf>
    <xf numFmtId="165" fontId="9" fillId="2" borderId="44" xfId="1" applyNumberFormat="1" applyFont="1" applyFill="1" applyBorder="1" applyAlignment="1">
      <alignment vertical="center" wrapText="1"/>
    </xf>
    <xf numFmtId="164" fontId="9" fillId="2" borderId="45" xfId="1" applyNumberFormat="1" applyFont="1" applyFill="1" applyBorder="1" applyAlignment="1">
      <alignment vertical="center" wrapText="1"/>
    </xf>
    <xf numFmtId="2" fontId="9" fillId="2" borderId="35" xfId="1" applyNumberFormat="1" applyFont="1" applyFill="1" applyBorder="1" applyAlignment="1">
      <alignment horizontal="center" vertical="center" wrapText="1"/>
    </xf>
    <xf numFmtId="165" fontId="9" fillId="2" borderId="36" xfId="1" applyNumberFormat="1" applyFont="1" applyFill="1" applyBorder="1" applyAlignment="1">
      <alignment vertical="center" wrapText="1"/>
    </xf>
    <xf numFmtId="164" fontId="9" fillId="2" borderId="37" xfId="1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4"/>
  <sheetViews>
    <sheetView tabSelected="1" view="pageLayout" zoomScaleNormal="100" workbookViewId="0">
      <selection activeCell="O6" sqref="O6"/>
    </sheetView>
  </sheetViews>
  <sheetFormatPr defaultRowHeight="14.25" x14ac:dyDescent="0.2"/>
  <cols>
    <col min="1" max="1" width="52.42578125" style="1" customWidth="1"/>
    <col min="2" max="2" width="10.140625" style="1" bestFit="1" customWidth="1"/>
    <col min="3" max="3" width="11.5703125" style="1" customWidth="1"/>
    <col min="4" max="4" width="13" style="1" customWidth="1"/>
    <col min="5" max="5" width="11.140625" style="1" customWidth="1"/>
    <col min="6" max="6" width="9.28515625" style="1" bestFit="1" customWidth="1"/>
    <col min="7" max="7" width="12.42578125" style="1" customWidth="1"/>
    <col min="8" max="8" width="10.85546875" style="1" customWidth="1"/>
    <col min="9" max="9" width="9.28515625" style="1" bestFit="1" customWidth="1"/>
    <col min="10" max="10" width="10.140625" style="1" customWidth="1"/>
    <col min="11" max="13" width="9.28515625" style="1" bestFit="1" customWidth="1"/>
    <col min="14" max="14" width="8.85546875" style="1" customWidth="1"/>
    <col min="15" max="15" width="9.28515625" style="1" customWidth="1"/>
    <col min="16" max="16" width="13.42578125" style="1" customWidth="1"/>
    <col min="17" max="17" width="13.5703125" style="1" customWidth="1"/>
    <col min="18" max="18" width="13" style="1" customWidth="1"/>
    <col min="19" max="16384" width="9.140625" style="1"/>
  </cols>
  <sheetData>
    <row r="2" spans="1:18" ht="15.75" customHeight="1" x14ac:dyDescent="0.2">
      <c r="K2" s="2"/>
      <c r="L2" s="2"/>
      <c r="M2" s="2"/>
      <c r="N2" s="2"/>
      <c r="O2" s="2" t="s">
        <v>39</v>
      </c>
      <c r="P2" s="2"/>
      <c r="Q2" s="2"/>
      <c r="R2" s="2"/>
    </row>
    <row r="3" spans="1:18" ht="15.75" customHeight="1" x14ac:dyDescent="0.2">
      <c r="K3" s="2"/>
      <c r="L3" s="2"/>
      <c r="M3" s="2"/>
      <c r="N3" s="2"/>
      <c r="O3" s="67" t="s">
        <v>0</v>
      </c>
      <c r="P3" s="67"/>
      <c r="Q3" s="67"/>
      <c r="R3" s="67"/>
    </row>
    <row r="4" spans="1:18" ht="15.75" customHeight="1" x14ac:dyDescent="0.2">
      <c r="K4" s="2"/>
      <c r="L4" s="2"/>
      <c r="M4" s="2"/>
      <c r="N4" s="2"/>
      <c r="O4" s="67" t="s">
        <v>1</v>
      </c>
      <c r="P4" s="67"/>
      <c r="Q4" s="67"/>
      <c r="R4" s="67"/>
    </row>
    <row r="5" spans="1:18" ht="15.75" customHeight="1" x14ac:dyDescent="0.2">
      <c r="K5" s="3"/>
      <c r="L5" s="4"/>
      <c r="M5" s="4"/>
      <c r="N5" s="4"/>
      <c r="O5" s="68" t="s">
        <v>43</v>
      </c>
      <c r="P5" s="68"/>
      <c r="Q5" s="68"/>
      <c r="R5" s="68"/>
    </row>
    <row r="8" spans="1:18" ht="18" x14ac:dyDescent="0.25">
      <c r="A8" s="69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33.75" customHeight="1" x14ac:dyDescent="0.2">
      <c r="A10" s="66" t="s">
        <v>38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2" spans="1:18" ht="15" thickBot="1" x14ac:dyDescent="0.25"/>
    <row r="13" spans="1:18" ht="68.25" customHeight="1" thickBot="1" x14ac:dyDescent="0.25">
      <c r="A13" s="42" t="s">
        <v>3</v>
      </c>
      <c r="B13" s="45" t="s">
        <v>4</v>
      </c>
      <c r="C13" s="46"/>
      <c r="D13" s="46"/>
      <c r="E13" s="46"/>
      <c r="F13" s="46"/>
      <c r="G13" s="47" t="s">
        <v>5</v>
      </c>
      <c r="H13" s="48"/>
      <c r="I13" s="48"/>
      <c r="J13" s="48"/>
      <c r="K13" s="48"/>
      <c r="L13" s="48"/>
      <c r="M13" s="48"/>
      <c r="N13" s="48"/>
      <c r="O13" s="49"/>
      <c r="P13" s="42" t="s">
        <v>42</v>
      </c>
      <c r="Q13" s="50" t="s">
        <v>6</v>
      </c>
      <c r="R13" s="53" t="s">
        <v>7</v>
      </c>
    </row>
    <row r="14" spans="1:18" ht="22.5" customHeight="1" x14ac:dyDescent="0.2">
      <c r="A14" s="43"/>
      <c r="B14" s="55" t="s">
        <v>8</v>
      </c>
      <c r="C14" s="55" t="s">
        <v>9</v>
      </c>
      <c r="D14" s="55" t="s">
        <v>10</v>
      </c>
      <c r="E14" s="57" t="s">
        <v>11</v>
      </c>
      <c r="F14" s="58"/>
      <c r="G14" s="51" t="s">
        <v>12</v>
      </c>
      <c r="H14" s="56" t="s">
        <v>13</v>
      </c>
      <c r="I14" s="56" t="s">
        <v>14</v>
      </c>
      <c r="J14" s="56" t="s">
        <v>15</v>
      </c>
      <c r="K14" s="51" t="s">
        <v>16</v>
      </c>
      <c r="L14" s="64" t="s">
        <v>17</v>
      </c>
      <c r="M14" s="40" t="s">
        <v>18</v>
      </c>
      <c r="N14" s="60" t="s">
        <v>19</v>
      </c>
      <c r="O14" s="61"/>
      <c r="P14" s="43"/>
      <c r="Q14" s="51"/>
      <c r="R14" s="54"/>
    </row>
    <row r="15" spans="1:18" ht="68.25" customHeight="1" thickBot="1" x14ac:dyDescent="0.25">
      <c r="A15" s="43"/>
      <c r="B15" s="56"/>
      <c r="C15" s="56"/>
      <c r="D15" s="56"/>
      <c r="E15" s="51"/>
      <c r="F15" s="59"/>
      <c r="G15" s="51"/>
      <c r="H15" s="56"/>
      <c r="I15" s="56"/>
      <c r="J15" s="56"/>
      <c r="K15" s="51"/>
      <c r="L15" s="65"/>
      <c r="M15" s="41"/>
      <c r="N15" s="62"/>
      <c r="O15" s="63"/>
      <c r="P15" s="44"/>
      <c r="Q15" s="52"/>
      <c r="R15" s="54"/>
    </row>
    <row r="16" spans="1:18" ht="39" customHeight="1" thickBot="1" x14ac:dyDescent="0.25">
      <c r="A16" s="6"/>
      <c r="B16" s="7" t="s">
        <v>20</v>
      </c>
      <c r="C16" s="7" t="s">
        <v>20</v>
      </c>
      <c r="D16" s="7" t="s">
        <v>20</v>
      </c>
      <c r="E16" s="7" t="s">
        <v>20</v>
      </c>
      <c r="F16" s="8" t="s">
        <v>21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8" t="s">
        <v>22</v>
      </c>
      <c r="P16" s="9" t="s">
        <v>20</v>
      </c>
      <c r="Q16" s="10" t="s">
        <v>23</v>
      </c>
      <c r="R16" s="8" t="s">
        <v>24</v>
      </c>
    </row>
    <row r="17" spans="1:18" ht="19.5" customHeight="1" thickBo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2">
        <v>17</v>
      </c>
      <c r="R17" s="13">
        <v>18</v>
      </c>
    </row>
    <row r="18" spans="1:18" x14ac:dyDescent="0.2">
      <c r="A18" s="14" t="s">
        <v>25</v>
      </c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8"/>
    </row>
    <row r="19" spans="1:18" s="39" customFormat="1" ht="56.25" customHeight="1" x14ac:dyDescent="0.2">
      <c r="A19" s="19" t="s">
        <v>26</v>
      </c>
      <c r="B19" s="20">
        <f>6846.86/19855.55*2568.5+0.01</f>
        <v>885.71499986149956</v>
      </c>
      <c r="C19" s="20">
        <f>14.27/19855.55*2568.5</f>
        <v>1.8459571757015041</v>
      </c>
      <c r="D19" s="20">
        <f>30.73/19855.55*2568.5</f>
        <v>3.9752112129857902</v>
      </c>
      <c r="E19" s="20">
        <f>SUM(B19:D19)</f>
        <v>891.53616825018685</v>
      </c>
      <c r="F19" s="20">
        <f>E19/Q19</f>
        <v>0.34710382256187927</v>
      </c>
      <c r="G19" s="20">
        <f>2823.04/19855.55*2568.5</f>
        <v>365.18647128888398</v>
      </c>
      <c r="H19" s="20">
        <f>290.53/19855.55*2568.5</f>
        <v>37.582756710340433</v>
      </c>
      <c r="I19" s="36">
        <v>0</v>
      </c>
      <c r="J19" s="20">
        <f>7.82/19855.55*2568.5</f>
        <v>1.0115897066563255</v>
      </c>
      <c r="K19" s="20">
        <f>45.02/19855.55*2568.5+0.01</f>
        <v>5.8337555746378227</v>
      </c>
      <c r="L19" s="20">
        <v>0</v>
      </c>
      <c r="M19" s="20">
        <f>789.81/19855.55*2568.5</f>
        <v>102.16926677931357</v>
      </c>
      <c r="N19" s="20">
        <f>SUM(G19:M19)</f>
        <v>511.78384005983219</v>
      </c>
      <c r="O19" s="20">
        <f t="shared" ref="O19:O26" si="0">N19/Q19</f>
        <v>0.19925397705268919</v>
      </c>
      <c r="P19" s="20">
        <f>E19+N19</f>
        <v>1403.3200083100191</v>
      </c>
      <c r="Q19" s="37">
        <v>2568.5</v>
      </c>
      <c r="R19" s="38">
        <f>P19/Q19</f>
        <v>0.54635779961456843</v>
      </c>
    </row>
    <row r="20" spans="1:18" s="39" customFormat="1" ht="59.25" customHeight="1" x14ac:dyDescent="0.2">
      <c r="A20" s="19" t="s">
        <v>27</v>
      </c>
      <c r="B20" s="20">
        <f>6846.86/19855.55*1925.5</f>
        <v>663.97702053078353</v>
      </c>
      <c r="C20" s="20">
        <f>14.27/19855.55*1925.5</f>
        <v>1.3838390273752175</v>
      </c>
      <c r="D20" s="20">
        <f>30.73/19855.55*1925.5</f>
        <v>2.9800541913973677</v>
      </c>
      <c r="E20" s="20">
        <f t="shared" ref="E20:E24" si="1">SUM(B20:D20)</f>
        <v>668.34091374955608</v>
      </c>
      <c r="F20" s="20">
        <f t="shared" ref="F20:F25" si="2">E20/Q20</f>
        <v>0.34709992923892813</v>
      </c>
      <c r="G20" s="20">
        <f>2823.04/19855.55*1925.5</f>
        <v>273.76544694052797</v>
      </c>
      <c r="H20" s="20">
        <f>290.53/19855.55*1925.5</f>
        <v>28.174264374444423</v>
      </c>
      <c r="I20" s="36">
        <v>0</v>
      </c>
      <c r="J20" s="20">
        <f>7.82/19855.55*1925.5</f>
        <v>0.75834766601781378</v>
      </c>
      <c r="K20" s="20">
        <f>45.02/19855.55*1925.5</f>
        <v>4.3658327268698178</v>
      </c>
      <c r="L20" s="20"/>
      <c r="M20" s="20">
        <f>789.81/19855.55*1925.5</f>
        <v>76.592144513750554</v>
      </c>
      <c r="N20" s="20">
        <f t="shared" ref="N20:N24" si="3">SUM(G20:M20)</f>
        <v>383.65603622161058</v>
      </c>
      <c r="O20" s="20">
        <f t="shared" si="0"/>
        <v>0.19925008372973804</v>
      </c>
      <c r="P20" s="20">
        <f t="shared" ref="P20:P23" si="4">E20+N20</f>
        <v>1051.9969499711667</v>
      </c>
      <c r="Q20" s="37">
        <v>1925.5</v>
      </c>
      <c r="R20" s="38">
        <f t="shared" ref="R20:R25" si="5">P20/Q20</f>
        <v>0.54635001296866614</v>
      </c>
    </row>
    <row r="21" spans="1:18" s="39" customFormat="1" ht="57" customHeight="1" x14ac:dyDescent="0.2">
      <c r="A21" s="19" t="s">
        <v>28</v>
      </c>
      <c r="B21" s="20">
        <f>6846.86/19855.55*5969.5</f>
        <v>2058.4839387476045</v>
      </c>
      <c r="C21" s="20">
        <f>14.27/19855.55*5969.5</f>
        <v>4.290224395697928</v>
      </c>
      <c r="D21" s="20">
        <f>30.73/19855.55*5969.5</f>
        <v>9.2388644484791413</v>
      </c>
      <c r="E21" s="20">
        <f t="shared" si="1"/>
        <v>2072.0130275917813</v>
      </c>
      <c r="F21" s="20">
        <f t="shared" si="2"/>
        <v>0.34709992923892813</v>
      </c>
      <c r="G21" s="20">
        <f>2823.04/19855.55*5969.5</f>
        <v>848.73686601479187</v>
      </c>
      <c r="H21" s="20">
        <f>290.53/19855.55*5969.5</f>
        <v>87.346804042194748</v>
      </c>
      <c r="I21" s="36">
        <v>0</v>
      </c>
      <c r="J21" s="20">
        <f>7.82/19855.55*5969.5</f>
        <v>2.3510549946992154</v>
      </c>
      <c r="K21" s="20">
        <f>45.02/19855.55*5969.5</f>
        <v>13.535101772552261</v>
      </c>
      <c r="L21" s="20"/>
      <c r="M21" s="20">
        <f>789.81/19855.55*5969.5</f>
        <v>237.4535480004331</v>
      </c>
      <c r="N21" s="20">
        <f t="shared" si="3"/>
        <v>1189.4233748246711</v>
      </c>
      <c r="O21" s="20">
        <f t="shared" si="0"/>
        <v>0.19925008372973801</v>
      </c>
      <c r="P21" s="20">
        <f t="shared" si="4"/>
        <v>3261.4364024164524</v>
      </c>
      <c r="Q21" s="37">
        <v>5969.5</v>
      </c>
      <c r="R21" s="38">
        <f t="shared" si="5"/>
        <v>0.54635001296866614</v>
      </c>
    </row>
    <row r="22" spans="1:18" s="39" customFormat="1" ht="60" customHeight="1" x14ac:dyDescent="0.2">
      <c r="A22" s="19" t="s">
        <v>29</v>
      </c>
      <c r="B22" s="20">
        <f>6846.86/19855.55*4200</f>
        <v>1448.3009536376478</v>
      </c>
      <c r="C22" s="20">
        <f>14.27/19855.55*4200</f>
        <v>3.018501124370768</v>
      </c>
      <c r="D22" s="20">
        <f>30.73/19855.55*4200</f>
        <v>6.5002480414795869</v>
      </c>
      <c r="E22" s="20">
        <f t="shared" si="1"/>
        <v>1457.8197028034981</v>
      </c>
      <c r="F22" s="20">
        <f t="shared" si="2"/>
        <v>0.34709992923892813</v>
      </c>
      <c r="G22" s="20">
        <f>2823.04/19855.55*4200</f>
        <v>597.15132544804851</v>
      </c>
      <c r="H22" s="20">
        <f>290.53/19855.55*4200</f>
        <v>61.4551598923223</v>
      </c>
      <c r="I22" s="21">
        <v>0</v>
      </c>
      <c r="J22" s="20">
        <f>7.82/19855.55*4200</f>
        <v>1.6541470772655507</v>
      </c>
      <c r="K22" s="20">
        <f>45.05/19855.55*4200</f>
        <v>9.5293255538124111</v>
      </c>
      <c r="L22" s="20"/>
      <c r="M22" s="20">
        <f>789.81/19855.55*4200</f>
        <v>167.06673952622816</v>
      </c>
      <c r="N22" s="20">
        <f t="shared" si="3"/>
        <v>836.85669749767692</v>
      </c>
      <c r="O22" s="20">
        <f t="shared" si="0"/>
        <v>0.19925159464230402</v>
      </c>
      <c r="P22" s="20">
        <f t="shared" si="4"/>
        <v>2294.6764003011749</v>
      </c>
      <c r="Q22" s="22">
        <v>4200</v>
      </c>
      <c r="R22" s="38">
        <f t="shared" si="5"/>
        <v>0.54635152388123209</v>
      </c>
    </row>
    <row r="23" spans="1:18" s="39" customFormat="1" ht="61.5" customHeight="1" x14ac:dyDescent="0.2">
      <c r="A23" s="26" t="s">
        <v>41</v>
      </c>
      <c r="B23" s="20">
        <f>6846.86/19855.55*3400</f>
        <v>1172.4341053257149</v>
      </c>
      <c r="C23" s="20">
        <f>14.27/19855.55*3400</f>
        <v>2.4435485292525265</v>
      </c>
      <c r="D23" s="20">
        <f>30.73/19855.55*3400</f>
        <v>5.2621055573882369</v>
      </c>
      <c r="E23" s="20">
        <f t="shared" si="1"/>
        <v>1180.1397594123555</v>
      </c>
      <c r="F23" s="20">
        <f t="shared" si="2"/>
        <v>0.34709992923892807</v>
      </c>
      <c r="G23" s="20">
        <f>2823.04/19855.55*3400</f>
        <v>483.40821583889647</v>
      </c>
      <c r="H23" s="20">
        <f>290.53/19855.55*3400</f>
        <v>49.749415150927575</v>
      </c>
      <c r="I23" s="21">
        <v>0</v>
      </c>
      <c r="J23" s="20">
        <f>7.82/19855.55*3400</f>
        <v>1.3390714435006839</v>
      </c>
      <c r="K23" s="20">
        <f>45.05/19855.55*3400</f>
        <v>7.714215924514809</v>
      </c>
      <c r="L23" s="20"/>
      <c r="M23" s="20">
        <f>789.81/19855.55*3400</f>
        <v>135.24450342599422</v>
      </c>
      <c r="N23" s="20">
        <f t="shared" si="3"/>
        <v>677.4554217838338</v>
      </c>
      <c r="O23" s="20">
        <f t="shared" si="0"/>
        <v>0.19925159464230405</v>
      </c>
      <c r="P23" s="20">
        <f t="shared" si="4"/>
        <v>1857.5951811961893</v>
      </c>
      <c r="Q23" s="22">
        <v>3400</v>
      </c>
      <c r="R23" s="38">
        <f t="shared" si="5"/>
        <v>0.54635152388123209</v>
      </c>
    </row>
    <row r="24" spans="1:18" s="39" customFormat="1" ht="53.25" customHeight="1" x14ac:dyDescent="0.2">
      <c r="A24" s="26" t="s">
        <v>40</v>
      </c>
      <c r="B24" s="20">
        <f>6846.86/19855.55*1792+0.01</f>
        <v>617.9517402187297</v>
      </c>
      <c r="C24" s="20">
        <f>14.27/19855.55*1792</f>
        <v>1.2878938130648609</v>
      </c>
      <c r="D24" s="20">
        <f>30.73/19855.55*1792</f>
        <v>2.7734391643646239</v>
      </c>
      <c r="E24" s="20">
        <f t="shared" si="1"/>
        <v>622.01307319615921</v>
      </c>
      <c r="F24" s="20">
        <f t="shared" si="2"/>
        <v>0.347105509596071</v>
      </c>
      <c r="G24" s="20">
        <f>2823.04/19855.55*1792+0.01</f>
        <v>254.79456552450071</v>
      </c>
      <c r="H24" s="20">
        <f>290.53/19855.55*1792</f>
        <v>26.220868220724181</v>
      </c>
      <c r="I24" s="21">
        <v>0</v>
      </c>
      <c r="J24" s="20">
        <f>7.82/19855.55*1792</f>
        <v>0.70576941963330164</v>
      </c>
      <c r="K24" s="20">
        <f>45.05/19855.55*1792+0.01</f>
        <v>4.0758455696266287</v>
      </c>
      <c r="L24" s="20"/>
      <c r="M24" s="20">
        <f>789.81/19855.55*1792</f>
        <v>71.28180886452401</v>
      </c>
      <c r="N24" s="20">
        <f t="shared" si="3"/>
        <v>357.07885759900881</v>
      </c>
      <c r="O24" s="20">
        <f t="shared" si="0"/>
        <v>0.19926275535658974</v>
      </c>
      <c r="P24" s="20">
        <f>E24+N24-0.01</f>
        <v>979.08193079516809</v>
      </c>
      <c r="Q24" s="22">
        <v>1792</v>
      </c>
      <c r="R24" s="38">
        <f t="shared" si="5"/>
        <v>0.54636268459551796</v>
      </c>
    </row>
    <row r="25" spans="1:18" s="39" customFormat="1" ht="26.25" thickBot="1" x14ac:dyDescent="0.25">
      <c r="A25" s="23" t="s">
        <v>30</v>
      </c>
      <c r="B25" s="28">
        <v>7857.4</v>
      </c>
      <c r="C25" s="28">
        <v>16.37</v>
      </c>
      <c r="D25" s="28">
        <v>35.270000000000003</v>
      </c>
      <c r="E25" s="28">
        <f t="shared" ref="E25" si="6">B25+C25+D25</f>
        <v>7909.04</v>
      </c>
      <c r="F25" s="20">
        <f t="shared" si="2"/>
        <v>0.34710085139998242</v>
      </c>
      <c r="G25" s="28">
        <v>3239.7</v>
      </c>
      <c r="H25" s="28">
        <v>333.41</v>
      </c>
      <c r="I25" s="29">
        <v>0</v>
      </c>
      <c r="J25" s="28">
        <v>8.9700000000000006</v>
      </c>
      <c r="K25" s="28">
        <v>51.71</v>
      </c>
      <c r="L25" s="29"/>
      <c r="M25" s="28">
        <v>906.38</v>
      </c>
      <c r="N25" s="28">
        <f>SUM(G25:M25)</f>
        <v>4540.1699999999992</v>
      </c>
      <c r="O25" s="27">
        <f t="shared" si="0"/>
        <v>0.19925261125252344</v>
      </c>
      <c r="P25" s="28">
        <f>E25+N25</f>
        <v>12449.21</v>
      </c>
      <c r="Q25" s="30">
        <v>22786</v>
      </c>
      <c r="R25" s="38">
        <f t="shared" si="5"/>
        <v>0.54635346265250584</v>
      </c>
    </row>
    <row r="26" spans="1:18" ht="15" thickBot="1" x14ac:dyDescent="0.25">
      <c r="A26" s="24" t="s">
        <v>31</v>
      </c>
      <c r="B26" s="31">
        <f>SUM(B19:B25)</f>
        <v>14704.26275832198</v>
      </c>
      <c r="C26" s="31">
        <f>SUM(C19:C25)</f>
        <v>30.639964065462806</v>
      </c>
      <c r="D26" s="31">
        <f>SUM(D19:D25)</f>
        <v>65.99992261609475</v>
      </c>
      <c r="E26" s="31">
        <f>SUM(E19:E25)</f>
        <v>14800.902645003538</v>
      </c>
      <c r="F26" s="32">
        <f>E26/Q26</f>
        <v>0.34710089103346592</v>
      </c>
      <c r="G26" s="31">
        <f>SUM(G19:G25)</f>
        <v>6062.74289105565</v>
      </c>
      <c r="H26" s="31">
        <f>SUM(H19:H25)</f>
        <v>623.93926839095366</v>
      </c>
      <c r="I26" s="33">
        <f t="shared" ref="I26" si="7">SUM(I22:I25)</f>
        <v>0</v>
      </c>
      <c r="J26" s="33">
        <f>SUM(J19:J25)</f>
        <v>16.78998030777289</v>
      </c>
      <c r="K26" s="31">
        <f>SUM(K19:K25)</f>
        <v>96.764077122013759</v>
      </c>
      <c r="L26" s="33">
        <f>SUM(L22:L25)</f>
        <v>0</v>
      </c>
      <c r="M26" s="31">
        <f>SUM(M19:M25)</f>
        <v>1696.1880111102437</v>
      </c>
      <c r="N26" s="31">
        <f>SUM(N19:N25)</f>
        <v>8496.4242279866321</v>
      </c>
      <c r="O26" s="32">
        <f t="shared" si="0"/>
        <v>0.19925247066793222</v>
      </c>
      <c r="P26" s="31">
        <f>SUM(P19:P25)</f>
        <v>23297.31687299017</v>
      </c>
      <c r="Q26" s="34">
        <f>SUM(Q19:Q25)</f>
        <v>42641.5</v>
      </c>
      <c r="R26" s="35">
        <f>P26/Q26</f>
        <v>0.54635312718807194</v>
      </c>
    </row>
    <row r="27" spans="1:18" x14ac:dyDescent="0.2">
      <c r="A27" s="25"/>
    </row>
    <row r="28" spans="1:18" x14ac:dyDescent="0.2">
      <c r="A28" s="25" t="s">
        <v>32</v>
      </c>
    </row>
    <row r="29" spans="1:18" x14ac:dyDescent="0.2">
      <c r="A29" s="25" t="s">
        <v>33</v>
      </c>
    </row>
    <row r="30" spans="1:18" x14ac:dyDescent="0.2">
      <c r="A30" s="25" t="s">
        <v>34</v>
      </c>
    </row>
    <row r="31" spans="1:18" x14ac:dyDescent="0.2">
      <c r="A31" s="25" t="s">
        <v>35</v>
      </c>
    </row>
    <row r="32" spans="1:18" x14ac:dyDescent="0.2">
      <c r="A32" s="25" t="s">
        <v>36</v>
      </c>
    </row>
    <row r="33" spans="1:6" x14ac:dyDescent="0.2">
      <c r="A33" s="25"/>
    </row>
    <row r="34" spans="1:6" x14ac:dyDescent="0.2">
      <c r="F34" s="1" t="s">
        <v>37</v>
      </c>
    </row>
  </sheetData>
  <mergeCells count="23">
    <mergeCell ref="A10:R10"/>
    <mergeCell ref="O3:R3"/>
    <mergeCell ref="O4:R4"/>
    <mergeCell ref="O5:R5"/>
    <mergeCell ref="A8:R8"/>
    <mergeCell ref="Q13:Q15"/>
    <mergeCell ref="R13:R15"/>
    <mergeCell ref="B14:B15"/>
    <mergeCell ref="C14:C15"/>
    <mergeCell ref="D14:D15"/>
    <mergeCell ref="E14:F15"/>
    <mergeCell ref="G14:G15"/>
    <mergeCell ref="N14:O15"/>
    <mergeCell ref="H14:H15"/>
    <mergeCell ref="I14:I15"/>
    <mergeCell ref="J14:J15"/>
    <mergeCell ref="K14:K15"/>
    <mergeCell ref="L14:L15"/>
    <mergeCell ref="M14:M15"/>
    <mergeCell ref="P13:P15"/>
    <mergeCell ref="A13:A15"/>
    <mergeCell ref="B13:F13"/>
    <mergeCell ref="G13:O13"/>
  </mergeCells>
  <pageMargins left="0.25" right="0.17812500000000001" top="0.60562499999999997" bottom="0.15437500000000001" header="0.3" footer="0.3"/>
  <pageSetup paperSize="9" scale="57" fitToHeight="0" orientation="landscape" r:id="rId1"/>
  <headerFooter>
    <oddHeader>&amp;C&amp;"Liberation Serif,обычный"&amp;20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 ДМШ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2022-09-12T04:37:38Z</cp:lastPrinted>
  <dcterms:created xsi:type="dcterms:W3CDTF">2022-09-08T11:39:51Z</dcterms:created>
  <dcterms:modified xsi:type="dcterms:W3CDTF">2022-09-16T03:13:25Z</dcterms:modified>
</cp:coreProperties>
</file>