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очта\"/>
    </mc:Choice>
  </mc:AlternateContent>
  <bookViews>
    <workbookView xWindow="0" yWindow="0" windowWidth="16380" windowHeight="8190" tabRatio="500"/>
  </bookViews>
  <sheets>
    <sheet name="на печать" sheetId="1" r:id="rId1"/>
    <sheet name="Лист1" sheetId="2" r:id="rId2"/>
    <sheet name="Лист3" sheetId="3" r:id="rId3"/>
  </sheets>
  <definedNames>
    <definedName name="_xlnm.Print_Area" localSheetId="1">Лист1!$A$1:$L$311</definedName>
    <definedName name="_xlnm.Print_Area" localSheetId="0">'на печать'!$A$1:$L$314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305" i="1" l="1"/>
  <c r="D265" i="1" l="1"/>
  <c r="D264" i="1"/>
  <c r="K236" i="1" l="1"/>
  <c r="D21" i="3" l="1"/>
  <c r="G300" i="2"/>
  <c r="K300" i="2" s="1"/>
  <c r="C300" i="2"/>
  <c r="G299" i="2"/>
  <c r="C299" i="2"/>
  <c r="G298" i="2"/>
  <c r="G295" i="2" s="1"/>
  <c r="K295" i="2" s="1"/>
  <c r="C298" i="2"/>
  <c r="J295" i="2"/>
  <c r="I295" i="2"/>
  <c r="H295" i="2"/>
  <c r="F295" i="2"/>
  <c r="E295" i="2"/>
  <c r="D295" i="2"/>
  <c r="C295" i="2"/>
  <c r="G294" i="2"/>
  <c r="C294" i="2"/>
  <c r="C291" i="2" s="1"/>
  <c r="G293" i="2"/>
  <c r="C293" i="2"/>
  <c r="K293" i="2" s="1"/>
  <c r="G292" i="2"/>
  <c r="G291" i="2" s="1"/>
  <c r="C292" i="2"/>
  <c r="J291" i="2"/>
  <c r="I291" i="2"/>
  <c r="H291" i="2"/>
  <c r="F291" i="2"/>
  <c r="E291" i="2"/>
  <c r="D291" i="2"/>
  <c r="G290" i="2"/>
  <c r="C290" i="2"/>
  <c r="G289" i="2"/>
  <c r="C289" i="2"/>
  <c r="G288" i="2"/>
  <c r="C288" i="2"/>
  <c r="J285" i="2"/>
  <c r="I285" i="2"/>
  <c r="I251" i="2" s="1"/>
  <c r="H285" i="2"/>
  <c r="F285" i="2"/>
  <c r="E285" i="2"/>
  <c r="D285" i="2"/>
  <c r="C285" i="2" s="1"/>
  <c r="G283" i="2"/>
  <c r="C283" i="2"/>
  <c r="G282" i="2"/>
  <c r="D282" i="2"/>
  <c r="C282" i="2"/>
  <c r="K282" i="2" s="1"/>
  <c r="G281" i="2"/>
  <c r="C281" i="2"/>
  <c r="K281" i="2" s="1"/>
  <c r="J278" i="2"/>
  <c r="I278" i="2"/>
  <c r="H278" i="2"/>
  <c r="G278" i="2"/>
  <c r="K278" i="2" s="1"/>
  <c r="F278" i="2"/>
  <c r="E278" i="2"/>
  <c r="D278" i="2"/>
  <c r="C278" i="2"/>
  <c r="H276" i="2"/>
  <c r="G276" i="2"/>
  <c r="C276" i="2"/>
  <c r="J273" i="2"/>
  <c r="G273" i="2"/>
  <c r="K273" i="2" s="1"/>
  <c r="F273" i="2"/>
  <c r="F272" i="2" s="1"/>
  <c r="C273" i="2"/>
  <c r="J272" i="2"/>
  <c r="I272" i="2"/>
  <c r="G272" i="2" s="1"/>
  <c r="H272" i="2"/>
  <c r="E272" i="2"/>
  <c r="E251" i="2" s="1"/>
  <c r="D272" i="2"/>
  <c r="C272" i="2" s="1"/>
  <c r="H270" i="2"/>
  <c r="G270" i="2" s="1"/>
  <c r="K270" i="2" s="1"/>
  <c r="D270" i="2"/>
  <c r="C270" i="2"/>
  <c r="K268" i="2"/>
  <c r="G268" i="2"/>
  <c r="D268" i="2"/>
  <c r="C268" i="2"/>
  <c r="K265" i="2"/>
  <c r="G265" i="2"/>
  <c r="C265" i="2"/>
  <c r="G264" i="2"/>
  <c r="C264" i="2"/>
  <c r="G263" i="2"/>
  <c r="K263" i="2" s="1"/>
  <c r="C263" i="2"/>
  <c r="G262" i="2"/>
  <c r="D262" i="2"/>
  <c r="C262" i="2"/>
  <c r="J261" i="2"/>
  <c r="I261" i="2"/>
  <c r="H261" i="2"/>
  <c r="H251" i="2" s="1"/>
  <c r="F261" i="2"/>
  <c r="E261" i="2"/>
  <c r="D261" i="2"/>
  <c r="G259" i="2"/>
  <c r="D259" i="2"/>
  <c r="G257" i="2"/>
  <c r="C257" i="2"/>
  <c r="K256" i="2"/>
  <c r="G256" i="2"/>
  <c r="C256" i="2"/>
  <c r="J253" i="2"/>
  <c r="J251" i="2" s="1"/>
  <c r="I253" i="2"/>
  <c r="H253" i="2"/>
  <c r="G253" i="2"/>
  <c r="F253" i="2"/>
  <c r="F251" i="2" s="1"/>
  <c r="E253" i="2"/>
  <c r="G250" i="2"/>
  <c r="K250" i="2" s="1"/>
  <c r="C250" i="2"/>
  <c r="H248" i="2"/>
  <c r="G248" i="2"/>
  <c r="K248" i="2" s="1"/>
  <c r="C248" i="2"/>
  <c r="J245" i="2"/>
  <c r="I245" i="2"/>
  <c r="H245" i="2"/>
  <c r="G245" i="2" s="1"/>
  <c r="K245" i="2" s="1"/>
  <c r="F245" i="2"/>
  <c r="E245" i="2"/>
  <c r="D245" i="2"/>
  <c r="C245" i="2" s="1"/>
  <c r="H243" i="2"/>
  <c r="G243" i="2"/>
  <c r="K243" i="2" s="1"/>
  <c r="C243" i="2"/>
  <c r="G241" i="2"/>
  <c r="C241" i="2"/>
  <c r="K240" i="2"/>
  <c r="G240" i="2"/>
  <c r="C240" i="2"/>
  <c r="J237" i="2"/>
  <c r="I237" i="2"/>
  <c r="H237" i="2"/>
  <c r="G237" i="2"/>
  <c r="K237" i="2" s="1"/>
  <c r="F237" i="2"/>
  <c r="E237" i="2"/>
  <c r="D237" i="2"/>
  <c r="C237" i="2"/>
  <c r="K235" i="2"/>
  <c r="G235" i="2"/>
  <c r="C235" i="2"/>
  <c r="G234" i="2"/>
  <c r="C234" i="2"/>
  <c r="G232" i="2"/>
  <c r="C232" i="2"/>
  <c r="J229" i="2"/>
  <c r="I229" i="2"/>
  <c r="H229" i="2"/>
  <c r="F229" i="2"/>
  <c r="E229" i="2"/>
  <c r="D229" i="2"/>
  <c r="G227" i="2"/>
  <c r="C227" i="2"/>
  <c r="K225" i="2"/>
  <c r="G225" i="2"/>
  <c r="C225" i="2"/>
  <c r="K224" i="2"/>
  <c r="G224" i="2"/>
  <c r="C224" i="2"/>
  <c r="G223" i="2"/>
  <c r="C223" i="2"/>
  <c r="C217" i="2" s="1"/>
  <c r="K222" i="2"/>
  <c r="G222" i="2"/>
  <c r="C222" i="2"/>
  <c r="K220" i="2"/>
  <c r="G220" i="2"/>
  <c r="G217" i="2" s="1"/>
  <c r="C220" i="2"/>
  <c r="J217" i="2"/>
  <c r="J215" i="2" s="1"/>
  <c r="I217" i="2"/>
  <c r="H217" i="2"/>
  <c r="F217" i="2"/>
  <c r="F215" i="2" s="1"/>
  <c r="E217" i="2"/>
  <c r="D217" i="2"/>
  <c r="I215" i="2"/>
  <c r="E215" i="2"/>
  <c r="H214" i="2"/>
  <c r="G214" i="2" s="1"/>
  <c r="K214" i="2" s="1"/>
  <c r="C214" i="2"/>
  <c r="G213" i="2"/>
  <c r="K213" i="2" s="1"/>
  <c r="C213" i="2"/>
  <c r="G211" i="2"/>
  <c r="C211" i="2"/>
  <c r="G210" i="2"/>
  <c r="C210" i="2"/>
  <c r="J207" i="2"/>
  <c r="I207" i="2"/>
  <c r="H207" i="2"/>
  <c r="G207" i="2"/>
  <c r="K207" i="2" s="1"/>
  <c r="F207" i="2"/>
  <c r="D207" i="2"/>
  <c r="C207" i="2" s="1"/>
  <c r="K205" i="2"/>
  <c r="G205" i="2"/>
  <c r="C205" i="2"/>
  <c r="G204" i="2"/>
  <c r="K204" i="2" s="1"/>
  <c r="C204" i="2"/>
  <c r="G203" i="2"/>
  <c r="C203" i="2"/>
  <c r="K203" i="2" s="1"/>
  <c r="G201" i="2"/>
  <c r="C201" i="2"/>
  <c r="G200" i="2"/>
  <c r="C200" i="2"/>
  <c r="J197" i="2"/>
  <c r="H197" i="2"/>
  <c r="G197" i="2"/>
  <c r="F197" i="2"/>
  <c r="D197" i="2"/>
  <c r="C197" i="2" s="1"/>
  <c r="K195" i="2"/>
  <c r="G195" i="2"/>
  <c r="C195" i="2"/>
  <c r="G194" i="2"/>
  <c r="K194" i="2" s="1"/>
  <c r="C194" i="2"/>
  <c r="G193" i="2"/>
  <c r="K193" i="2" s="1"/>
  <c r="C193" i="2"/>
  <c r="G191" i="2"/>
  <c r="C191" i="2"/>
  <c r="G190" i="2"/>
  <c r="C190" i="2"/>
  <c r="J187" i="2"/>
  <c r="I187" i="2"/>
  <c r="H187" i="2"/>
  <c r="G187" i="2" s="1"/>
  <c r="F187" i="2"/>
  <c r="D187" i="2"/>
  <c r="C187" i="2"/>
  <c r="G185" i="2"/>
  <c r="K185" i="2" s="1"/>
  <c r="C185" i="2"/>
  <c r="K184" i="2"/>
  <c r="G184" i="2"/>
  <c r="C184" i="2"/>
  <c r="G183" i="2"/>
  <c r="K183" i="2" s="1"/>
  <c r="C183" i="2"/>
  <c r="G182" i="2"/>
  <c r="K182" i="2" s="1"/>
  <c r="C182" i="2"/>
  <c r="G181" i="2"/>
  <c r="K181" i="2" s="1"/>
  <c r="C181" i="2"/>
  <c r="G179" i="2"/>
  <c r="C179" i="2"/>
  <c r="G178" i="2"/>
  <c r="C178" i="2"/>
  <c r="J175" i="2"/>
  <c r="I175" i="2"/>
  <c r="H175" i="2"/>
  <c r="G175" i="2"/>
  <c r="K175" i="2" s="1"/>
  <c r="F175" i="2"/>
  <c r="E175" i="2"/>
  <c r="D175" i="2"/>
  <c r="C175" i="2"/>
  <c r="G173" i="2"/>
  <c r="K173" i="2" s="1"/>
  <c r="C173" i="2"/>
  <c r="K172" i="2"/>
  <c r="G172" i="2"/>
  <c r="C172" i="2"/>
  <c r="G170" i="2"/>
  <c r="C170" i="2"/>
  <c r="G169" i="2"/>
  <c r="C169" i="2"/>
  <c r="G168" i="2"/>
  <c r="C168" i="2"/>
  <c r="G167" i="2"/>
  <c r="C167" i="2"/>
  <c r="J164" i="2"/>
  <c r="I164" i="2"/>
  <c r="H164" i="2"/>
  <c r="F164" i="2"/>
  <c r="E164" i="2"/>
  <c r="D164" i="2"/>
  <c r="K162" i="2"/>
  <c r="G161" i="2"/>
  <c r="K161" i="2" s="1"/>
  <c r="C161" i="2"/>
  <c r="K160" i="2"/>
  <c r="G160" i="2"/>
  <c r="C160" i="2"/>
  <c r="G159" i="2"/>
  <c r="K159" i="2" s="1"/>
  <c r="C159" i="2"/>
  <c r="G157" i="2"/>
  <c r="C157" i="2"/>
  <c r="G156" i="2"/>
  <c r="C156" i="2"/>
  <c r="G155" i="2"/>
  <c r="C155" i="2"/>
  <c r="J152" i="2"/>
  <c r="I152" i="2"/>
  <c r="H152" i="2"/>
  <c r="G152" i="2"/>
  <c r="F152" i="2"/>
  <c r="E152" i="2"/>
  <c r="D152" i="2"/>
  <c r="C152" i="2"/>
  <c r="I150" i="2"/>
  <c r="H150" i="2"/>
  <c r="E150" i="2"/>
  <c r="D150" i="2"/>
  <c r="G149" i="2"/>
  <c r="C149" i="2"/>
  <c r="G147" i="2"/>
  <c r="E147" i="2"/>
  <c r="C147" i="2"/>
  <c r="J144" i="2"/>
  <c r="I144" i="2"/>
  <c r="H144" i="2"/>
  <c r="G144" i="2" s="1"/>
  <c r="F144" i="2"/>
  <c r="E144" i="2"/>
  <c r="D144" i="2"/>
  <c r="G142" i="2"/>
  <c r="C142" i="2"/>
  <c r="K140" i="2"/>
  <c r="G140" i="2"/>
  <c r="C140" i="2"/>
  <c r="G138" i="2"/>
  <c r="K138" i="2" s="1"/>
  <c r="C138" i="2"/>
  <c r="G136" i="2"/>
  <c r="C136" i="2"/>
  <c r="J133" i="2"/>
  <c r="I133" i="2"/>
  <c r="H133" i="2"/>
  <c r="G133" i="2"/>
  <c r="K133" i="2" s="1"/>
  <c r="F133" i="2"/>
  <c r="E133" i="2"/>
  <c r="D133" i="2"/>
  <c r="C133" i="2"/>
  <c r="H131" i="2"/>
  <c r="G131" i="2"/>
  <c r="D131" i="2"/>
  <c r="C131" i="2" s="1"/>
  <c r="G128" i="2"/>
  <c r="C128" i="2"/>
  <c r="H127" i="2"/>
  <c r="G127" i="2"/>
  <c r="D127" i="2"/>
  <c r="J124" i="2"/>
  <c r="I124" i="2"/>
  <c r="H124" i="2"/>
  <c r="F124" i="2"/>
  <c r="E124" i="2"/>
  <c r="G122" i="2"/>
  <c r="K122" i="2" s="1"/>
  <c r="C122" i="2"/>
  <c r="G121" i="2"/>
  <c r="C121" i="2"/>
  <c r="G119" i="2"/>
  <c r="K119" i="2" s="1"/>
  <c r="C119" i="2"/>
  <c r="G118" i="2"/>
  <c r="C118" i="2"/>
  <c r="G116" i="2"/>
  <c r="C116" i="2"/>
  <c r="G115" i="2"/>
  <c r="K115" i="2" s="1"/>
  <c r="C115" i="2"/>
  <c r="K113" i="2"/>
  <c r="G113" i="2"/>
  <c r="C113" i="2"/>
  <c r="G112" i="2"/>
  <c r="K112" i="2" s="1"/>
  <c r="C112" i="2"/>
  <c r="G110" i="2"/>
  <c r="C110" i="2"/>
  <c r="G109" i="2"/>
  <c r="K109" i="2" s="1"/>
  <c r="C109" i="2"/>
  <c r="K108" i="2"/>
  <c r="G108" i="2"/>
  <c r="C108" i="2"/>
  <c r="J105" i="2"/>
  <c r="I105" i="2"/>
  <c r="H105" i="2"/>
  <c r="F105" i="2"/>
  <c r="E105" i="2"/>
  <c r="D105" i="2"/>
  <c r="K103" i="2"/>
  <c r="G103" i="2"/>
  <c r="C103" i="2"/>
  <c r="G102" i="2"/>
  <c r="K102" i="2" s="1"/>
  <c r="C102" i="2"/>
  <c r="G100" i="2"/>
  <c r="K100" i="2" s="1"/>
  <c r="C100" i="2"/>
  <c r="I99" i="2"/>
  <c r="G99" i="2"/>
  <c r="C99" i="2"/>
  <c r="C96" i="2" s="1"/>
  <c r="J96" i="2"/>
  <c r="I96" i="2"/>
  <c r="H96" i="2"/>
  <c r="H94" i="2" s="1"/>
  <c r="F96" i="2"/>
  <c r="E96" i="2"/>
  <c r="D96" i="2"/>
  <c r="I94" i="2"/>
  <c r="E94" i="2"/>
  <c r="G93" i="2"/>
  <c r="K93" i="2" s="1"/>
  <c r="C93" i="2"/>
  <c r="G91" i="2"/>
  <c r="C91" i="2"/>
  <c r="C86" i="2" s="1"/>
  <c r="G89" i="2"/>
  <c r="K89" i="2" s="1"/>
  <c r="C89" i="2"/>
  <c r="J86" i="2"/>
  <c r="I86" i="2"/>
  <c r="H86" i="2"/>
  <c r="G86" i="2"/>
  <c r="F86" i="2"/>
  <c r="E86" i="2"/>
  <c r="D86" i="2"/>
  <c r="G84" i="2"/>
  <c r="C84" i="2"/>
  <c r="G82" i="2"/>
  <c r="C82" i="2"/>
  <c r="J79" i="2"/>
  <c r="I79" i="2"/>
  <c r="H79" i="2"/>
  <c r="F79" i="2"/>
  <c r="E79" i="2"/>
  <c r="E49" i="2" s="1"/>
  <c r="D79" i="2"/>
  <c r="G77" i="2"/>
  <c r="C77" i="2"/>
  <c r="G75" i="2"/>
  <c r="K75" i="2" s="1"/>
  <c r="C75" i="2"/>
  <c r="J72" i="2"/>
  <c r="I72" i="2"/>
  <c r="H72" i="2"/>
  <c r="G72" i="2"/>
  <c r="K72" i="2" s="1"/>
  <c r="F72" i="2"/>
  <c r="E72" i="2"/>
  <c r="D72" i="2"/>
  <c r="C72" i="2"/>
  <c r="G70" i="2"/>
  <c r="C70" i="2"/>
  <c r="G68" i="2"/>
  <c r="K68" i="2" s="1"/>
  <c r="C68" i="2"/>
  <c r="J65" i="2"/>
  <c r="I65" i="2"/>
  <c r="F65" i="2"/>
  <c r="E65" i="2"/>
  <c r="D65" i="2"/>
  <c r="D49" i="2" s="1"/>
  <c r="C65" i="2"/>
  <c r="G63" i="2"/>
  <c r="C63" i="2"/>
  <c r="G61" i="2"/>
  <c r="K61" i="2" s="1"/>
  <c r="C61" i="2"/>
  <c r="K59" i="2"/>
  <c r="G59" i="2"/>
  <c r="C59" i="2"/>
  <c r="J56" i="2"/>
  <c r="G56" i="2" s="1"/>
  <c r="I56" i="2"/>
  <c r="H56" i="2"/>
  <c r="F56" i="2"/>
  <c r="E56" i="2"/>
  <c r="D56" i="2"/>
  <c r="K54" i="2"/>
  <c r="G54" i="2"/>
  <c r="C54" i="2"/>
  <c r="J51" i="2"/>
  <c r="I51" i="2"/>
  <c r="G51" i="2" s="1"/>
  <c r="K51" i="2" s="1"/>
  <c r="H51" i="2"/>
  <c r="F51" i="2"/>
  <c r="E51" i="2"/>
  <c r="D51" i="2"/>
  <c r="C51" i="2"/>
  <c r="H49" i="2"/>
  <c r="H48" i="2"/>
  <c r="G48" i="2"/>
  <c r="C48" i="2"/>
  <c r="C45" i="2" s="1"/>
  <c r="J45" i="2"/>
  <c r="I45" i="2"/>
  <c r="H45" i="2"/>
  <c r="G45" i="2" s="1"/>
  <c r="F45" i="2"/>
  <c r="E45" i="2"/>
  <c r="D45" i="2"/>
  <c r="D11" i="2" s="1"/>
  <c r="C11" i="2" s="1"/>
  <c r="H43" i="2"/>
  <c r="G43" i="2"/>
  <c r="K43" i="2" s="1"/>
  <c r="C43" i="2"/>
  <c r="H42" i="2"/>
  <c r="G42" i="2"/>
  <c r="K42" i="2" s="1"/>
  <c r="C42" i="2"/>
  <c r="H41" i="2"/>
  <c r="G41" i="2"/>
  <c r="K41" i="2" s="1"/>
  <c r="C41" i="2"/>
  <c r="C39" i="2"/>
  <c r="H38" i="2"/>
  <c r="G38" i="2" s="1"/>
  <c r="K38" i="2" s="1"/>
  <c r="C38" i="2"/>
  <c r="G35" i="2"/>
  <c r="K35" i="2" s="1"/>
  <c r="C35" i="2"/>
  <c r="H34" i="2"/>
  <c r="H31" i="2" s="1"/>
  <c r="G34" i="2"/>
  <c r="C34" i="2"/>
  <c r="J31" i="2"/>
  <c r="I31" i="2"/>
  <c r="I11" i="2" s="1"/>
  <c r="F31" i="2"/>
  <c r="E31" i="2"/>
  <c r="E11" i="2" s="1"/>
  <c r="D31" i="2"/>
  <c r="C31" i="2"/>
  <c r="H29" i="2"/>
  <c r="G29" i="2" s="1"/>
  <c r="K29" i="2" s="1"/>
  <c r="D29" i="2"/>
  <c r="C29" i="2"/>
  <c r="K28" i="2"/>
  <c r="G28" i="2"/>
  <c r="C28" i="2"/>
  <c r="H26" i="2"/>
  <c r="G26" i="2" s="1"/>
  <c r="K26" i="2" s="1"/>
  <c r="C26" i="2"/>
  <c r="H24" i="2"/>
  <c r="D24" i="2"/>
  <c r="C24" i="2"/>
  <c r="G22" i="2"/>
  <c r="C22" i="2"/>
  <c r="J19" i="2"/>
  <c r="I19" i="2"/>
  <c r="F19" i="2"/>
  <c r="E19" i="2"/>
  <c r="D19" i="2"/>
  <c r="G17" i="2"/>
  <c r="C17" i="2"/>
  <c r="G16" i="2"/>
  <c r="C16" i="2"/>
  <c r="K16" i="2" s="1"/>
  <c r="J13" i="2"/>
  <c r="I13" i="2"/>
  <c r="H13" i="2"/>
  <c r="G13" i="2"/>
  <c r="F13" i="2"/>
  <c r="E13" i="2"/>
  <c r="D13" i="2"/>
  <c r="C13" i="2"/>
  <c r="J11" i="2"/>
  <c r="F11" i="2"/>
  <c r="G303" i="1"/>
  <c r="K303" i="1" s="1"/>
  <c r="C303" i="1"/>
  <c r="G302" i="1"/>
  <c r="C302" i="1"/>
  <c r="G301" i="1"/>
  <c r="G298" i="1" s="1"/>
  <c r="K298" i="1" s="1"/>
  <c r="C301" i="1"/>
  <c r="J298" i="1"/>
  <c r="I298" i="1"/>
  <c r="H298" i="1"/>
  <c r="F298" i="1"/>
  <c r="E298" i="1"/>
  <c r="D298" i="1"/>
  <c r="C298" i="1"/>
  <c r="G297" i="1"/>
  <c r="C297" i="1"/>
  <c r="G296" i="1"/>
  <c r="K296" i="1" s="1"/>
  <c r="C296" i="1"/>
  <c r="G295" i="1"/>
  <c r="G294" i="1" s="1"/>
  <c r="C295" i="1"/>
  <c r="J294" i="1"/>
  <c r="I294" i="1"/>
  <c r="H294" i="1"/>
  <c r="F294" i="1"/>
  <c r="E294" i="1"/>
  <c r="D294" i="1"/>
  <c r="G293" i="1"/>
  <c r="C293" i="1"/>
  <c r="G292" i="1"/>
  <c r="C292" i="1"/>
  <c r="G291" i="1"/>
  <c r="C291" i="1"/>
  <c r="G290" i="1"/>
  <c r="K290" i="1" s="1"/>
  <c r="C290" i="1"/>
  <c r="J287" i="1"/>
  <c r="I287" i="1"/>
  <c r="H287" i="1"/>
  <c r="G287" i="1"/>
  <c r="K287" i="1" s="1"/>
  <c r="F287" i="1"/>
  <c r="E287" i="1"/>
  <c r="D287" i="1"/>
  <c r="C287" i="1"/>
  <c r="H285" i="1"/>
  <c r="G285" i="1"/>
  <c r="D285" i="1"/>
  <c r="H284" i="1"/>
  <c r="H280" i="1" s="1"/>
  <c r="G284" i="1"/>
  <c r="K284" i="1" s="1"/>
  <c r="D284" i="1"/>
  <c r="C284" i="1" s="1"/>
  <c r="G283" i="1"/>
  <c r="K283" i="1" s="1"/>
  <c r="C283" i="1"/>
  <c r="J280" i="1"/>
  <c r="I280" i="1"/>
  <c r="I253" i="1" s="1"/>
  <c r="F280" i="1"/>
  <c r="E280" i="1"/>
  <c r="H278" i="1"/>
  <c r="D278" i="1"/>
  <c r="C278" i="1"/>
  <c r="J275" i="1"/>
  <c r="H275" i="1"/>
  <c r="G275" i="1"/>
  <c r="F275" i="1"/>
  <c r="D275" i="1"/>
  <c r="C275" i="1" s="1"/>
  <c r="K275" i="1" s="1"/>
  <c r="J274" i="1"/>
  <c r="I274" i="1"/>
  <c r="F274" i="1"/>
  <c r="E274" i="1"/>
  <c r="D274" i="1"/>
  <c r="C274" i="1"/>
  <c r="H272" i="1"/>
  <c r="G272" i="1" s="1"/>
  <c r="D272" i="1"/>
  <c r="C272" i="1" s="1"/>
  <c r="G270" i="1"/>
  <c r="D270" i="1"/>
  <c r="C270" i="1"/>
  <c r="G267" i="1"/>
  <c r="C267" i="1"/>
  <c r="K267" i="1" s="1"/>
  <c r="K266" i="1"/>
  <c r="G266" i="1"/>
  <c r="C266" i="1"/>
  <c r="G265" i="1"/>
  <c r="C265" i="1"/>
  <c r="K265" i="1" s="1"/>
  <c r="G264" i="1"/>
  <c r="C264" i="1"/>
  <c r="K264" i="1" s="1"/>
  <c r="J263" i="1"/>
  <c r="I263" i="1"/>
  <c r="H263" i="1"/>
  <c r="G263" i="1"/>
  <c r="F263" i="1"/>
  <c r="E263" i="1"/>
  <c r="H261" i="1"/>
  <c r="G261" i="1"/>
  <c r="D261" i="1"/>
  <c r="D255" i="1" s="1"/>
  <c r="C261" i="1"/>
  <c r="K261" i="1" s="1"/>
  <c r="G259" i="1"/>
  <c r="C259" i="1"/>
  <c r="C255" i="1" s="1"/>
  <c r="K258" i="1"/>
  <c r="G258" i="1"/>
  <c r="C258" i="1"/>
  <c r="J255" i="1"/>
  <c r="J253" i="1" s="1"/>
  <c r="I255" i="1"/>
  <c r="H255" i="1"/>
  <c r="G255" i="1"/>
  <c r="F255" i="1"/>
  <c r="E255" i="1"/>
  <c r="E253" i="1"/>
  <c r="G252" i="1"/>
  <c r="K252" i="1" s="1"/>
  <c r="C252" i="1"/>
  <c r="K250" i="1"/>
  <c r="G250" i="1"/>
  <c r="C250" i="1"/>
  <c r="J247" i="1"/>
  <c r="J217" i="1" s="1"/>
  <c r="I247" i="1"/>
  <c r="H247" i="1"/>
  <c r="F247" i="1"/>
  <c r="F217" i="1" s="1"/>
  <c r="E247" i="1"/>
  <c r="D247" i="1"/>
  <c r="K245" i="1"/>
  <c r="H245" i="1"/>
  <c r="G245" i="1"/>
  <c r="C245" i="1"/>
  <c r="K243" i="1"/>
  <c r="G243" i="1"/>
  <c r="C243" i="1"/>
  <c r="H242" i="1"/>
  <c r="G242" i="1" s="1"/>
  <c r="K242" i="1" s="1"/>
  <c r="D242" i="1"/>
  <c r="C242" i="1"/>
  <c r="J239" i="1"/>
  <c r="I239" i="1"/>
  <c r="H239" i="1"/>
  <c r="G239" i="1" s="1"/>
  <c r="F239" i="1"/>
  <c r="E239" i="1"/>
  <c r="D239" i="1"/>
  <c r="C239" i="1" s="1"/>
  <c r="G237" i="1"/>
  <c r="C237" i="1"/>
  <c r="G236" i="1"/>
  <c r="C236" i="1"/>
  <c r="G234" i="1"/>
  <c r="C234" i="1"/>
  <c r="J231" i="1"/>
  <c r="I231" i="1"/>
  <c r="H231" i="1"/>
  <c r="G231" i="1" s="1"/>
  <c r="F231" i="1"/>
  <c r="E231" i="1"/>
  <c r="E217" i="1" s="1"/>
  <c r="D231" i="1"/>
  <c r="G229" i="1"/>
  <c r="D229" i="1"/>
  <c r="C229" i="1" s="1"/>
  <c r="G227" i="1"/>
  <c r="K227" i="1" s="1"/>
  <c r="C227" i="1"/>
  <c r="G226" i="1"/>
  <c r="C226" i="1"/>
  <c r="G225" i="1"/>
  <c r="G219" i="1" s="1"/>
  <c r="C225" i="1"/>
  <c r="G224" i="1"/>
  <c r="C224" i="1"/>
  <c r="C219" i="1" s="1"/>
  <c r="G222" i="1"/>
  <c r="K222" i="1" s="1"/>
  <c r="C222" i="1"/>
  <c r="J219" i="1"/>
  <c r="I219" i="1"/>
  <c r="H219" i="1"/>
  <c r="F219" i="1"/>
  <c r="E219" i="1"/>
  <c r="I217" i="1"/>
  <c r="H217" i="1"/>
  <c r="H216" i="1"/>
  <c r="H209" i="1" s="1"/>
  <c r="G209" i="1" s="1"/>
  <c r="K209" i="1" s="1"/>
  <c r="G216" i="1"/>
  <c r="K216" i="1" s="1"/>
  <c r="C216" i="1"/>
  <c r="G215" i="1"/>
  <c r="C215" i="1"/>
  <c r="G213" i="1"/>
  <c r="C213" i="1"/>
  <c r="G212" i="1"/>
  <c r="C212" i="1"/>
  <c r="J209" i="1"/>
  <c r="I209" i="1"/>
  <c r="F209" i="1"/>
  <c r="D209" i="1"/>
  <c r="C209" i="1" s="1"/>
  <c r="G207" i="1"/>
  <c r="C207" i="1"/>
  <c r="K206" i="1"/>
  <c r="G206" i="1"/>
  <c r="C206" i="1"/>
  <c r="G205" i="1"/>
  <c r="K205" i="1" s="1"/>
  <c r="C205" i="1"/>
  <c r="G203" i="1"/>
  <c r="C203" i="1"/>
  <c r="G202" i="1"/>
  <c r="C202" i="1"/>
  <c r="J199" i="1"/>
  <c r="H199" i="1"/>
  <c r="G199" i="1" s="1"/>
  <c r="K199" i="1" s="1"/>
  <c r="F199" i="1"/>
  <c r="D199" i="1"/>
  <c r="C199" i="1"/>
  <c r="G197" i="1"/>
  <c r="C197" i="1"/>
  <c r="K196" i="1"/>
  <c r="G196" i="1"/>
  <c r="C196" i="1"/>
  <c r="K195" i="1"/>
  <c r="G195" i="1"/>
  <c r="C195" i="1"/>
  <c r="G193" i="1"/>
  <c r="C193" i="1"/>
  <c r="G192" i="1"/>
  <c r="C192" i="1"/>
  <c r="J189" i="1"/>
  <c r="I189" i="1"/>
  <c r="H189" i="1"/>
  <c r="F189" i="1"/>
  <c r="D189" i="1"/>
  <c r="C189" i="1" s="1"/>
  <c r="G187" i="1"/>
  <c r="K187" i="1" s="1"/>
  <c r="C187" i="1"/>
  <c r="G186" i="1"/>
  <c r="C186" i="1"/>
  <c r="K185" i="1"/>
  <c r="G185" i="1"/>
  <c r="C185" i="1"/>
  <c r="G184" i="1"/>
  <c r="K184" i="1" s="1"/>
  <c r="C184" i="1"/>
  <c r="G183" i="1"/>
  <c r="C183" i="1"/>
  <c r="G181" i="1"/>
  <c r="C181" i="1"/>
  <c r="G180" i="1"/>
  <c r="C180" i="1"/>
  <c r="J177" i="1"/>
  <c r="I177" i="1"/>
  <c r="H177" i="1"/>
  <c r="G177" i="1" s="1"/>
  <c r="F177" i="1"/>
  <c r="E177" i="1"/>
  <c r="E152" i="1" s="1"/>
  <c r="D177" i="1"/>
  <c r="G175" i="1"/>
  <c r="C175" i="1"/>
  <c r="G174" i="1"/>
  <c r="K174" i="1" s="1"/>
  <c r="C174" i="1"/>
  <c r="G172" i="1"/>
  <c r="C172" i="1"/>
  <c r="G171" i="1"/>
  <c r="C171" i="1"/>
  <c r="G170" i="1"/>
  <c r="C170" i="1"/>
  <c r="G169" i="1"/>
  <c r="C169" i="1"/>
  <c r="J166" i="1"/>
  <c r="I166" i="1"/>
  <c r="H166" i="1"/>
  <c r="G166" i="1"/>
  <c r="K166" i="1" s="1"/>
  <c r="F166" i="1"/>
  <c r="E166" i="1"/>
  <c r="D166" i="1"/>
  <c r="C166" i="1"/>
  <c r="K164" i="1"/>
  <c r="G163" i="1"/>
  <c r="K163" i="1" s="1"/>
  <c r="C163" i="1"/>
  <c r="G162" i="1"/>
  <c r="C162" i="1"/>
  <c r="K162" i="1" s="1"/>
  <c r="K161" i="1"/>
  <c r="G161" i="1"/>
  <c r="C161" i="1"/>
  <c r="G159" i="1"/>
  <c r="C159" i="1"/>
  <c r="G158" i="1"/>
  <c r="C158" i="1"/>
  <c r="G157" i="1"/>
  <c r="C157" i="1"/>
  <c r="C154" i="1" s="1"/>
  <c r="J154" i="1"/>
  <c r="I154" i="1"/>
  <c r="H154" i="1"/>
  <c r="F154" i="1"/>
  <c r="E154" i="1"/>
  <c r="D154" i="1"/>
  <c r="J152" i="1"/>
  <c r="I152" i="1"/>
  <c r="F152" i="1"/>
  <c r="H151" i="1"/>
  <c r="G151" i="1" s="1"/>
  <c r="K151" i="1" s="1"/>
  <c r="D151" i="1"/>
  <c r="C151" i="1"/>
  <c r="I149" i="1"/>
  <c r="G149" i="1"/>
  <c r="E149" i="1"/>
  <c r="C149" i="1"/>
  <c r="C146" i="1" s="1"/>
  <c r="J146" i="1"/>
  <c r="I146" i="1"/>
  <c r="F146" i="1"/>
  <c r="E146" i="1"/>
  <c r="D146" i="1"/>
  <c r="G144" i="1"/>
  <c r="C144" i="1"/>
  <c r="K142" i="1"/>
  <c r="G142" i="1"/>
  <c r="D142" i="1"/>
  <c r="C142" i="1"/>
  <c r="H140" i="1"/>
  <c r="G140" i="1"/>
  <c r="D140" i="1"/>
  <c r="D135" i="1" s="1"/>
  <c r="C140" i="1"/>
  <c r="K140" i="1" s="1"/>
  <c r="G138" i="1"/>
  <c r="C138" i="1"/>
  <c r="J135" i="1"/>
  <c r="I135" i="1"/>
  <c r="H135" i="1"/>
  <c r="G135" i="1"/>
  <c r="F135" i="1"/>
  <c r="E135" i="1"/>
  <c r="H133" i="1"/>
  <c r="G133" i="1"/>
  <c r="D133" i="1"/>
  <c r="C133" i="1"/>
  <c r="K133" i="1" s="1"/>
  <c r="G130" i="1"/>
  <c r="C130" i="1"/>
  <c r="G129" i="1"/>
  <c r="K129" i="1" s="1"/>
  <c r="D129" i="1"/>
  <c r="C129" i="1"/>
  <c r="I128" i="1"/>
  <c r="G128" i="1" s="1"/>
  <c r="G125" i="1" s="1"/>
  <c r="H128" i="1"/>
  <c r="E128" i="1"/>
  <c r="D128" i="1"/>
  <c r="J125" i="1"/>
  <c r="I125" i="1"/>
  <c r="H125" i="1"/>
  <c r="F125" i="1"/>
  <c r="E125" i="1"/>
  <c r="K123" i="1"/>
  <c r="G123" i="1"/>
  <c r="E123" i="1"/>
  <c r="C123" i="1"/>
  <c r="K122" i="1"/>
  <c r="G122" i="1"/>
  <c r="F122" i="1"/>
  <c r="C122" i="1" s="1"/>
  <c r="G120" i="1"/>
  <c r="K120" i="1" s="1"/>
  <c r="C120" i="1"/>
  <c r="G119" i="1"/>
  <c r="C119" i="1"/>
  <c r="K117" i="1"/>
  <c r="G117" i="1"/>
  <c r="C117" i="1"/>
  <c r="H116" i="1"/>
  <c r="D116" i="1"/>
  <c r="C116" i="1"/>
  <c r="G114" i="1"/>
  <c r="C114" i="1"/>
  <c r="G113" i="1"/>
  <c r="C113" i="1"/>
  <c r="G112" i="1"/>
  <c r="C112" i="1"/>
  <c r="K112" i="1" s="1"/>
  <c r="K110" i="1"/>
  <c r="G110" i="1"/>
  <c r="C110" i="1"/>
  <c r="I109" i="1"/>
  <c r="E109" i="1"/>
  <c r="C109" i="1"/>
  <c r="K108" i="1"/>
  <c r="G108" i="1"/>
  <c r="C108" i="1"/>
  <c r="J105" i="1"/>
  <c r="F105" i="1"/>
  <c r="C105" i="1" s="1"/>
  <c r="E105" i="1"/>
  <c r="D105" i="1"/>
  <c r="K103" i="1"/>
  <c r="G103" i="1"/>
  <c r="C103" i="1"/>
  <c r="G102" i="1"/>
  <c r="K102" i="1" s="1"/>
  <c r="C102" i="1"/>
  <c r="G100" i="1"/>
  <c r="K100" i="1" s="1"/>
  <c r="C100" i="1"/>
  <c r="I99" i="1"/>
  <c r="G99" i="1"/>
  <c r="E99" i="1"/>
  <c r="C99" i="1" s="1"/>
  <c r="C96" i="1" s="1"/>
  <c r="J96" i="1"/>
  <c r="I96" i="1"/>
  <c r="H96" i="1"/>
  <c r="F96" i="1"/>
  <c r="F94" i="1" s="1"/>
  <c r="D96" i="1"/>
  <c r="J94" i="1"/>
  <c r="K93" i="1"/>
  <c r="G93" i="1"/>
  <c r="C93" i="1"/>
  <c r="G91" i="1"/>
  <c r="K91" i="1" s="1"/>
  <c r="C91" i="1"/>
  <c r="G89" i="1"/>
  <c r="C89" i="1"/>
  <c r="C86" i="1" s="1"/>
  <c r="J86" i="1"/>
  <c r="I86" i="1"/>
  <c r="H86" i="1"/>
  <c r="F86" i="1"/>
  <c r="E86" i="1"/>
  <c r="D86" i="1"/>
  <c r="G84" i="1"/>
  <c r="C84" i="1"/>
  <c r="K82" i="1"/>
  <c r="G82" i="1"/>
  <c r="C82" i="1"/>
  <c r="J79" i="1"/>
  <c r="I79" i="1"/>
  <c r="H79" i="1"/>
  <c r="G79" i="1"/>
  <c r="K79" i="1" s="1"/>
  <c r="F79" i="1"/>
  <c r="F49" i="1" s="1"/>
  <c r="E79" i="1"/>
  <c r="D79" i="1"/>
  <c r="C79" i="1"/>
  <c r="G77" i="1"/>
  <c r="C77" i="1"/>
  <c r="G75" i="1"/>
  <c r="C75" i="1"/>
  <c r="C72" i="1" s="1"/>
  <c r="J72" i="1"/>
  <c r="I72" i="1"/>
  <c r="H72" i="1"/>
  <c r="F72" i="1"/>
  <c r="E72" i="1"/>
  <c r="D72" i="1"/>
  <c r="G70" i="1"/>
  <c r="C70" i="1"/>
  <c r="C65" i="1" s="1"/>
  <c r="K68" i="1"/>
  <c r="G68" i="1"/>
  <c r="C68" i="1"/>
  <c r="J65" i="1"/>
  <c r="J49" i="1" s="1"/>
  <c r="I65" i="1"/>
  <c r="F65" i="1"/>
  <c r="E65" i="1"/>
  <c r="D65" i="1"/>
  <c r="I63" i="1"/>
  <c r="D63" i="1"/>
  <c r="C63" i="1"/>
  <c r="H61" i="1"/>
  <c r="G61" i="1" s="1"/>
  <c r="K61" i="1" s="1"/>
  <c r="C61" i="1"/>
  <c r="K59" i="1"/>
  <c r="G59" i="1"/>
  <c r="D59" i="1"/>
  <c r="C59" i="1"/>
  <c r="J56" i="1"/>
  <c r="H56" i="1"/>
  <c r="F56" i="1"/>
  <c r="E56" i="1"/>
  <c r="D56" i="1"/>
  <c r="C56" i="1"/>
  <c r="H54" i="1"/>
  <c r="G54" i="1"/>
  <c r="C54" i="1"/>
  <c r="C51" i="1" s="1"/>
  <c r="J51" i="1"/>
  <c r="I51" i="1"/>
  <c r="H51" i="1"/>
  <c r="F51" i="1"/>
  <c r="E51" i="1"/>
  <c r="D51" i="1"/>
  <c r="D49" i="1" s="1"/>
  <c r="E49" i="1"/>
  <c r="H48" i="1"/>
  <c r="G48" i="1" s="1"/>
  <c r="E48" i="1"/>
  <c r="D48" i="1"/>
  <c r="C48" i="1" s="1"/>
  <c r="C45" i="1" s="1"/>
  <c r="J45" i="1"/>
  <c r="I45" i="1"/>
  <c r="H45" i="1"/>
  <c r="G45" i="1" s="1"/>
  <c r="F45" i="1"/>
  <c r="E45" i="1"/>
  <c r="H43" i="1"/>
  <c r="G43" i="1" s="1"/>
  <c r="K43" i="1" s="1"/>
  <c r="D43" i="1"/>
  <c r="C43" i="1" s="1"/>
  <c r="H42" i="1"/>
  <c r="G42" i="1" s="1"/>
  <c r="K42" i="1" s="1"/>
  <c r="E42" i="1"/>
  <c r="D42" i="1"/>
  <c r="C42" i="1"/>
  <c r="H41" i="1"/>
  <c r="G41" i="1"/>
  <c r="D41" i="1"/>
  <c r="C41" i="1" s="1"/>
  <c r="C39" i="1"/>
  <c r="K38" i="1"/>
  <c r="H38" i="1"/>
  <c r="G38" i="1" s="1"/>
  <c r="D38" i="1"/>
  <c r="C38" i="1"/>
  <c r="K35" i="1"/>
  <c r="G35" i="1"/>
  <c r="C35" i="1"/>
  <c r="H34" i="1"/>
  <c r="G34" i="1" s="1"/>
  <c r="K34" i="1" s="1"/>
  <c r="D34" i="1"/>
  <c r="C34" i="1"/>
  <c r="J31" i="1"/>
  <c r="I31" i="1"/>
  <c r="F31" i="1"/>
  <c r="E31" i="1"/>
  <c r="D31" i="1"/>
  <c r="C31" i="1"/>
  <c r="H29" i="1"/>
  <c r="G29" i="1"/>
  <c r="D29" i="1"/>
  <c r="C29" i="1" s="1"/>
  <c r="G28" i="1"/>
  <c r="C28" i="1"/>
  <c r="G26" i="1"/>
  <c r="C26" i="1"/>
  <c r="H24" i="1"/>
  <c r="G24" i="1"/>
  <c r="D24" i="1"/>
  <c r="D19" i="1" s="1"/>
  <c r="C24" i="1"/>
  <c r="K24" i="1" s="1"/>
  <c r="G22" i="1"/>
  <c r="K22" i="1" s="1"/>
  <c r="C22" i="1"/>
  <c r="J19" i="1"/>
  <c r="I19" i="1"/>
  <c r="H19" i="1"/>
  <c r="F19" i="1"/>
  <c r="E19" i="1"/>
  <c r="G17" i="1"/>
  <c r="C17" i="1"/>
  <c r="G16" i="1"/>
  <c r="K16" i="1" s="1"/>
  <c r="C16" i="1"/>
  <c r="J13" i="1"/>
  <c r="J11" i="1" s="1"/>
  <c r="I13" i="1"/>
  <c r="H13" i="1"/>
  <c r="F13" i="1"/>
  <c r="F11" i="1" s="1"/>
  <c r="E13" i="1"/>
  <c r="E11" i="1" s="1"/>
  <c r="D13" i="1"/>
  <c r="F253" i="1" l="1"/>
  <c r="C19" i="1"/>
  <c r="I49" i="1"/>
  <c r="K255" i="1"/>
  <c r="K219" i="1"/>
  <c r="J305" i="1"/>
  <c r="K48" i="1"/>
  <c r="K239" i="1"/>
  <c r="G278" i="1"/>
  <c r="K278" i="1" s="1"/>
  <c r="H274" i="1"/>
  <c r="H253" i="1" s="1"/>
  <c r="K149" i="1"/>
  <c r="C263" i="1"/>
  <c r="C253" i="1" s="1"/>
  <c r="C94" i="2"/>
  <c r="K217" i="2"/>
  <c r="H31" i="1"/>
  <c r="C49" i="1"/>
  <c r="G63" i="1"/>
  <c r="K63" i="1" s="1"/>
  <c r="I56" i="1"/>
  <c r="G56" i="1" s="1"/>
  <c r="K56" i="1" s="1"/>
  <c r="G72" i="1"/>
  <c r="K72" i="1" s="1"/>
  <c r="K75" i="1"/>
  <c r="G86" i="1"/>
  <c r="K86" i="1" s="1"/>
  <c r="K89" i="1"/>
  <c r="D94" i="1"/>
  <c r="I94" i="1"/>
  <c r="C128" i="1"/>
  <c r="C125" i="1" s="1"/>
  <c r="D125" i="1"/>
  <c r="K128" i="1"/>
  <c r="C135" i="1"/>
  <c r="K135" i="1" s="1"/>
  <c r="H146" i="1"/>
  <c r="G146" i="1" s="1"/>
  <c r="K146" i="1" s="1"/>
  <c r="D152" i="1"/>
  <c r="K175" i="1"/>
  <c r="K183" i="1"/>
  <c r="K186" i="1"/>
  <c r="K207" i="1"/>
  <c r="K215" i="1"/>
  <c r="K224" i="1"/>
  <c r="K226" i="1"/>
  <c r="K229" i="1"/>
  <c r="K231" i="1"/>
  <c r="K234" i="1"/>
  <c r="K237" i="1"/>
  <c r="K272" i="1"/>
  <c r="J302" i="2"/>
  <c r="E302" i="2"/>
  <c r="K45" i="1"/>
  <c r="G116" i="1"/>
  <c r="K116" i="1" s="1"/>
  <c r="H105" i="1"/>
  <c r="G24" i="2"/>
  <c r="K24" i="2" s="1"/>
  <c r="H19" i="2"/>
  <c r="H11" i="2" s="1"/>
  <c r="H302" i="2" s="1"/>
  <c r="K34" i="2"/>
  <c r="G31" i="2"/>
  <c r="K31" i="2" s="1"/>
  <c r="K28" i="1"/>
  <c r="G31" i="1"/>
  <c r="K31" i="1" s="1"/>
  <c r="D45" i="1"/>
  <c r="D11" i="1" s="1"/>
  <c r="C11" i="1" s="1"/>
  <c r="K99" i="1"/>
  <c r="G96" i="1"/>
  <c r="K125" i="1"/>
  <c r="G154" i="1"/>
  <c r="H152" i="1"/>
  <c r="K197" i="1"/>
  <c r="C105" i="2"/>
  <c r="F94" i="2"/>
  <c r="F302" i="2" s="1"/>
  <c r="G13" i="1"/>
  <c r="G19" i="1"/>
  <c r="K19" i="1" s="1"/>
  <c r="C13" i="1"/>
  <c r="I11" i="1"/>
  <c r="H11" i="1"/>
  <c r="K26" i="1"/>
  <c r="K29" i="1"/>
  <c r="K41" i="1"/>
  <c r="G51" i="1"/>
  <c r="K51" i="1" s="1"/>
  <c r="H49" i="1"/>
  <c r="K54" i="1"/>
  <c r="G65" i="1"/>
  <c r="K65" i="1" s="1"/>
  <c r="E96" i="1"/>
  <c r="E94" i="1" s="1"/>
  <c r="E305" i="1" s="1"/>
  <c r="G109" i="1"/>
  <c r="K109" i="1" s="1"/>
  <c r="I105" i="1"/>
  <c r="K113" i="1"/>
  <c r="C177" i="1"/>
  <c r="C152" i="1" s="1"/>
  <c r="G189" i="1"/>
  <c r="K189" i="1" s="1"/>
  <c r="D219" i="1"/>
  <c r="D217" i="1" s="1"/>
  <c r="C231" i="1"/>
  <c r="C217" i="1" s="1"/>
  <c r="C247" i="1"/>
  <c r="G247" i="1"/>
  <c r="K259" i="1"/>
  <c r="D263" i="1"/>
  <c r="D253" i="1" s="1"/>
  <c r="D305" i="1" s="1"/>
  <c r="K285" i="1"/>
  <c r="F49" i="2"/>
  <c r="G65" i="2"/>
  <c r="K65" i="2" s="1"/>
  <c r="I49" i="2"/>
  <c r="G49" i="2" s="1"/>
  <c r="K86" i="2"/>
  <c r="C127" i="2"/>
  <c r="C124" i="2" s="1"/>
  <c r="D124" i="2"/>
  <c r="D94" i="2" s="1"/>
  <c r="K128" i="2"/>
  <c r="C144" i="2"/>
  <c r="K144" i="2" s="1"/>
  <c r="K270" i="1"/>
  <c r="G280" i="1"/>
  <c r="K280" i="1" s="1"/>
  <c r="G11" i="2"/>
  <c r="K11" i="2" s="1"/>
  <c r="K13" i="2"/>
  <c r="G79" i="2"/>
  <c r="K82" i="2"/>
  <c r="K110" i="2"/>
  <c r="K127" i="2"/>
  <c r="G150" i="2"/>
  <c r="K152" i="2"/>
  <c r="J150" i="2"/>
  <c r="G164" i="2"/>
  <c r="K227" i="2"/>
  <c r="G229" i="2"/>
  <c r="K229" i="2" s="1"/>
  <c r="H215" i="2"/>
  <c r="K232" i="2"/>
  <c r="K257" i="2"/>
  <c r="K276" i="2"/>
  <c r="K91" i="2"/>
  <c r="K99" i="2"/>
  <c r="K121" i="2"/>
  <c r="K149" i="2"/>
  <c r="K241" i="2"/>
  <c r="G261" i="2"/>
  <c r="K264" i="2"/>
  <c r="C285" i="1"/>
  <c r="D280" i="1"/>
  <c r="C280" i="1" s="1"/>
  <c r="C294" i="1"/>
  <c r="K294" i="1" s="1"/>
  <c r="C19" i="2"/>
  <c r="K45" i="2"/>
  <c r="K48" i="2"/>
  <c r="J49" i="2"/>
  <c r="C56" i="2"/>
  <c r="K63" i="2"/>
  <c r="C79" i="2"/>
  <c r="G105" i="2"/>
  <c r="K105" i="2" s="1"/>
  <c r="J94" i="2"/>
  <c r="K116" i="2"/>
  <c r="K131" i="2"/>
  <c r="K147" i="2"/>
  <c r="F150" i="2"/>
  <c r="C164" i="2"/>
  <c r="C150" i="2" s="1"/>
  <c r="K187" i="2"/>
  <c r="K197" i="2"/>
  <c r="C229" i="2"/>
  <c r="C215" i="2" s="1"/>
  <c r="D215" i="2"/>
  <c r="D302" i="2" s="1"/>
  <c r="C259" i="2"/>
  <c r="K259" i="2" s="1"/>
  <c r="D253" i="2"/>
  <c r="D251" i="2" s="1"/>
  <c r="K262" i="2"/>
  <c r="C261" i="2"/>
  <c r="K272" i="2"/>
  <c r="G285" i="2"/>
  <c r="K285" i="2" s="1"/>
  <c r="K288" i="2"/>
  <c r="K291" i="2"/>
  <c r="G124" i="2"/>
  <c r="K124" i="2" s="1"/>
  <c r="G96" i="2"/>
  <c r="K263" i="1" l="1"/>
  <c r="C302" i="2"/>
  <c r="C305" i="1"/>
  <c r="K79" i="2"/>
  <c r="K13" i="1"/>
  <c r="G11" i="1"/>
  <c r="K11" i="1" s="1"/>
  <c r="K96" i="1"/>
  <c r="C94" i="1"/>
  <c r="K261" i="2"/>
  <c r="I305" i="1"/>
  <c r="C49" i="2"/>
  <c r="K49" i="2" s="1"/>
  <c r="G251" i="2"/>
  <c r="K164" i="2"/>
  <c r="C253" i="2"/>
  <c r="K56" i="2"/>
  <c r="K154" i="1"/>
  <c r="G152" i="1"/>
  <c r="K152" i="1" s="1"/>
  <c r="H94" i="1"/>
  <c r="H305" i="1" s="1"/>
  <c r="G305" i="1" s="1"/>
  <c r="G105" i="1"/>
  <c r="K105" i="1" s="1"/>
  <c r="G215" i="2"/>
  <c r="K215" i="2" s="1"/>
  <c r="G274" i="1"/>
  <c r="K177" i="1"/>
  <c r="K150" i="2"/>
  <c r="G19" i="2"/>
  <c r="K19" i="2" s="1"/>
  <c r="K96" i="2"/>
  <c r="G94" i="2"/>
  <c r="K94" i="2" s="1"/>
  <c r="K247" i="1"/>
  <c r="G49" i="1"/>
  <c r="K49" i="1" s="1"/>
  <c r="I302" i="2"/>
  <c r="G302" i="2" s="1"/>
  <c r="K302" i="2" s="1"/>
  <c r="G217" i="1"/>
  <c r="K217" i="1" s="1"/>
  <c r="K305" i="1" l="1"/>
  <c r="G94" i="1"/>
  <c r="K94" i="1" s="1"/>
  <c r="C251" i="2"/>
  <c r="K253" i="2"/>
  <c r="K274" i="1"/>
  <c r="G253" i="1"/>
  <c r="K253" i="1" s="1"/>
  <c r="K251" i="2"/>
</calcChain>
</file>

<file path=xl/sharedStrings.xml><?xml version="1.0" encoding="utf-8"?>
<sst xmlns="http://schemas.openxmlformats.org/spreadsheetml/2006/main" count="763" uniqueCount="404">
  <si>
    <t>Выполнение мероприятий муниципальных программ за 2023 год</t>
  </si>
  <si>
    <t xml:space="preserve"> </t>
  </si>
  <si>
    <t>тыс. руб.</t>
  </si>
  <si>
    <t>№ строки</t>
  </si>
  <si>
    <t>Наименование муниципальной программы и плановых мероприятий</t>
  </si>
  <si>
    <t>Сумма расходов, предусмотренных на реализацию муниципальной программы на 2023 год</t>
  </si>
  <si>
    <t>Фактически произведенные расходы</t>
  </si>
  <si>
    <t>% выполнения</t>
  </si>
  <si>
    <t>Причины невыполнения</t>
  </si>
  <si>
    <t>Всего                      в тыс руб.</t>
  </si>
  <si>
    <t xml:space="preserve">В том числе </t>
  </si>
  <si>
    <t>Всего</t>
  </si>
  <si>
    <t>В том числе по источникам финансирования (в тыс.руб.)</t>
  </si>
  <si>
    <t>местный бюджет</t>
  </si>
  <si>
    <t>областной бюджет</t>
  </si>
  <si>
    <t>федеральный бюджет</t>
  </si>
  <si>
    <t>Всего по муниципальной программе "Совершенствование социально-экономической политики и эффективности муниципального управления" (постановление администрации ГО ЗАТО Свободный от 30.08.2022 № 481)</t>
  </si>
  <si>
    <t>1.1</t>
  </si>
  <si>
    <t>Подпрограмма "Развитие субъектов малого и среднего предпринимательства"</t>
  </si>
  <si>
    <t>Всего по подпрограмме "Развитие субъектов малого и среднего предпринимательства"</t>
  </si>
  <si>
    <t>901 0412 0310020501.</t>
  </si>
  <si>
    <t>л/с администрация</t>
  </si>
  <si>
    <t>Цель: Создание условий для развития малого и среднего предпринимательства</t>
  </si>
  <si>
    <t>Задача 1: Стимулирование развития, популяризация предпринимательской деятельности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</si>
  <si>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</si>
  <si>
    <t>Мероприятие 1:Пропаганда и популяризация предпринимательской деятельности</t>
  </si>
  <si>
    <t>Прочие мероприятия</t>
  </si>
  <si>
    <t>1.2.</t>
  </si>
  <si>
    <t>Подпрограмма: "Управление муниципальной собственностью"</t>
  </si>
  <si>
    <t>Всего по подпрограмме "Управление муниципальной собственностью"</t>
  </si>
  <si>
    <t>Цель: Повышение эффективности управления муниципальным имуществом</t>
  </si>
  <si>
    <t>Задача 1: Создание условий для исполнения полномочий органами местного самоуправления</t>
  </si>
  <si>
    <t>Мероприятие 1:Установление координат границ земельных участков под существующими и строящимися объектами муниципальной собственности, описание границ населенного пункта</t>
  </si>
  <si>
    <t>901 113 0320020110 244.</t>
  </si>
  <si>
    <t xml:space="preserve">  л/с администрация</t>
  </si>
  <si>
    <t>Задача 2 : Повышение доходности от использования и реализации муниципального имущества</t>
  </si>
  <si>
    <t>Мероприятие 1: Организация и проведение оценки рыночной стоимости арендной платы объектов муниципальной собственности, подлежащей приватизации. Оплата НДС.</t>
  </si>
  <si>
    <t>Задача 3: Обеспечение содержания и сохранности объектов муниципальной собственности</t>
  </si>
  <si>
    <t xml:space="preserve">Мероприятие 1:Осуществление обязанностей собственника по содержанию и сохранности муниципального имущества </t>
  </si>
  <si>
    <t xml:space="preserve">  л/с администрация, охрана магуст</t>
  </si>
  <si>
    <t>Задача 4:  Увеличение количества объектов муниципальной недвижимости, прошедших государственную регистрацию прав</t>
  </si>
  <si>
    <t>Мероприятие 1:Разработка генерального плана, технических паспортов и планов (схем) объектов муниципальной недвижимости</t>
  </si>
  <si>
    <t>901 0412 0320020110. ГЕНЕР ПЛАН</t>
  </si>
  <si>
    <t>Иные мероприятия в сфере управления муниципальным имуществом</t>
  </si>
  <si>
    <t>1.3.</t>
  </si>
  <si>
    <t>Подпрограмма: "Реализация и развитие муниципального управления"</t>
  </si>
  <si>
    <t>Всего по подпрограмме: "Реализация и развитие муниципального управления"</t>
  </si>
  <si>
    <t>Цель 1. Повышение информационной открытости о деятельности органов местного самоуправления.</t>
  </si>
  <si>
    <t>Задача 1: Обеспечение публикаций (обнародования) муниципальных нормативных правовых актов и иной официальной информации</t>
  </si>
  <si>
    <t>Мероприятие 1: Развитие информационно-коммуникационных технологий</t>
  </si>
  <si>
    <t>админ (901 0104), дума, кнтр.орган\(913), фин отдел(919)</t>
  </si>
  <si>
    <t>Мероприятие 2:Информирование населения о социально-экономическом и культурном развитии городского округа, доведение иной официальной информации</t>
  </si>
  <si>
    <t>Цель 2. Свершенствование муниципального управления и муниципальной службы в городском округе ЗАТО Свободный.</t>
  </si>
  <si>
    <t>Задача 1. Формирование системы непрерывного профессионального образования муниципальных служащих; профессиональное развитие муниципальных служащих.</t>
  </si>
  <si>
    <t>Мероприятие 1: Организация мероприятий по повышению квалификации и образовательного уровня выборных выборных должностных лиц и муниципальных служащих органов местного самоуправления</t>
  </si>
  <si>
    <t>Мероприятие 2: Организация мероприятий по формированию кадрового резерва муниципальных служащих органов местного самоуправления</t>
  </si>
  <si>
    <t>Задача 2. Повышение престижа муниципальной службы, совершенствование системы материального стимулирования и социальной защищенности лиц, замещающих муниципальные должности и должности муниципальной службы в органах местного самоуправления городского округа ЗАТО Свободный.</t>
  </si>
  <si>
    <t>Мероприятие 1: Выплата гарантий для депутатов Думы городского округа ЗАТО Свободный</t>
  </si>
  <si>
    <t>депутаты                                                                 912 0103 0330421300 123.,              912 0103 0330421300 244.</t>
  </si>
  <si>
    <t>л/с дума</t>
  </si>
  <si>
    <t>Мероприятие 2: Расходы на содержание ОМС</t>
  </si>
  <si>
    <t>Мероприятие 3: Пенсионное обеспечение лиц, замещавших муниципальные должности и должности муниципальных служащих в городском округе</t>
  </si>
  <si>
    <t>901 1001 0330720190 312.                 901 1001 0330720190 312.                   -300 000- обучение</t>
  </si>
  <si>
    <t>л/с администрация,           фин. Отдел, онтрольный орган</t>
  </si>
  <si>
    <t>1.4.</t>
  </si>
  <si>
    <t>Подпрограмма " Создание условий для обеспечения выполнения функций органами местного самоуправления и обеспечения деятельности муниципальных учреждений"</t>
  </si>
  <si>
    <t>Всего по подпрограмме:  "Создание условий для обеспечения выполнения функций органами местного самоуправления и обеспечения деятельности муниципальных учреждений"</t>
  </si>
  <si>
    <t>Цель 1. Повышение эффективности муниципального управления.</t>
  </si>
  <si>
    <t>Задача 1. Создание условий для повышения эффективности деятельности органов местного самоуправления</t>
  </si>
  <si>
    <t>Мероприятие 1: Обеспечение деятельности органов местного самоуправления и муниципальных учреждений</t>
  </si>
  <si>
    <t>0113 0340020093.   (АХС)                                                      0113 0340020094.(СМЗ)</t>
  </si>
  <si>
    <t xml:space="preserve">2. </t>
  </si>
  <si>
    <t>Всего по муниципальной программе " Безопасный город"  (постановление администрации ГО ЗАТО Свободный от 26.08.2022 № 479)</t>
  </si>
  <si>
    <t>2.1.</t>
  </si>
  <si>
    <t>Подпрограмма "Развитие гражданской обороны"</t>
  </si>
  <si>
    <t>Всего по подпрограмме: "Развитие гражданской обороны"</t>
  </si>
  <si>
    <t>Цель: Создание условий для развития гражданской обороны и обеспечения безопасности населения</t>
  </si>
  <si>
    <t>Задача 1. Организация и осуществление мероприятий по гражданской обороне</t>
  </si>
  <si>
    <t>Мероприятие 1:Обеспечение реализации мероприятий по гражданской обороне</t>
  </si>
  <si>
    <t>2.2.</t>
  </si>
  <si>
    <t>Подпрограмма "Защита населения от чрезвычайных ситуаций природного и техногенного характера"</t>
  </si>
  <si>
    <t>Всего по подпрограмме:" Защита населения от чрезвычайных ситуаций природного и техногенного характера"</t>
  </si>
  <si>
    <t>Цель: Создание эффективной системы обеспечения природно-техногенной безопасности населения</t>
  </si>
  <si>
    <t>Задача 1. Организация и осуществление мероприятий по предупреждению и ликвидации чрезвычайных ситуаций  природного и техногенного характера.</t>
  </si>
  <si>
    <t>Мероприятие 1:Обеспечение реализации мероприятий по предупреждению и ликвидации чрезвычайных ситуаций природного и техногенного характера.</t>
  </si>
  <si>
    <t>Задача 2. Обеспечение безопасности гидротехнических сооружений</t>
  </si>
  <si>
    <t xml:space="preserve">Мероприятие 1: Ремонт и содержание гидротехнического сооружения ГТС "Ива" </t>
  </si>
  <si>
    <t>Задача 3. Повышение готовности к реагированию на угрозу или возникновение чрезвычайных ситуаций</t>
  </si>
  <si>
    <t>Мероприятие 1: Обеспечение деятельности единой дежурно-диспетчерской службы</t>
  </si>
  <si>
    <t>2.3.</t>
  </si>
  <si>
    <t>Подпрограмма "Обеспечение пожарной безопасности"</t>
  </si>
  <si>
    <t>Всего по подпрограмме "Обеспечение пожарной безопасности"</t>
  </si>
  <si>
    <t>Цель: Создание и обеспечение необходимых условий для укрепления противопожарной безопасности</t>
  </si>
  <si>
    <t>Задача 1. Совершенствование противопожарной пропаганды при использовании средств массовой информации, наглядной агитации, листовок</t>
  </si>
  <si>
    <t>Мероприятие 1: Информирование населения по вопросам предупреждения и ликвидации чрезвычайных ситуаций природного и техногенного характера.</t>
  </si>
  <si>
    <t>Задача 2. Реализация первоочередных мер по противопожарной защите жилья, муниципальных учреждений, объектов образования, культуры, иных объектов массового нахождения людей.</t>
  </si>
  <si>
    <t>Мероприятие 1:Обеспечение реализации первоочередных мер по противопожарной защите</t>
  </si>
  <si>
    <t>2.4.</t>
  </si>
  <si>
    <t>Подпрограмма "Профилактика правонарушений"</t>
  </si>
  <si>
    <t>Всего по подпрограмме "Профилактика правонарушений"</t>
  </si>
  <si>
    <t>Цель: Формирование эффективной системы профилактики правонарушений</t>
  </si>
  <si>
    <t>Задача 1. Развитие системы профилактики правонарушений.</t>
  </si>
  <si>
    <t>Мероприятие 1:Информационно-пропагандистское сопровождение мероприятий по профилактике правонарушений</t>
  </si>
  <si>
    <t>Задача 2. Развитие системы профилактики правонарушений в подростковой среде.</t>
  </si>
  <si>
    <t>Мероприятие 1:Проведение профилактической работы среди подростков и в образовательном учреждении</t>
  </si>
  <si>
    <t>2.5.</t>
  </si>
  <si>
    <t>Подпрограмма "Профилактика безопасности дорожного движения"</t>
  </si>
  <si>
    <t>Всего по подпрограмме "Профилактика безопасности дорожного движения"</t>
  </si>
  <si>
    <t>Цель: Совершенствование комплексной системы профилактики безопасности дорожного движения</t>
  </si>
  <si>
    <t>Задача 1: Организация профилактики дорожно-транспортного травматизма.</t>
  </si>
  <si>
    <t>Мероприятие 1: Информационно-пропагандистское сопровождение мероприятий по профилактике дорожно-транспортного травматизма</t>
  </si>
  <si>
    <t>Задача 2: Повышение качества профилактики детского дорожно-транспортного травматизма.</t>
  </si>
  <si>
    <t>Мероприятие 1: Проведение профилактической работы среди подростков и в образовательном учреждении</t>
  </si>
  <si>
    <t>2.6.</t>
  </si>
  <si>
    <t>Подпрограмма "Профилактика терроризма, экстремизма и гармонизации межэтнических отношений"</t>
  </si>
  <si>
    <t>Всего по подпрограмме "Профилактика терроризма, экстремизма и гармонизации межэтнических отношений"</t>
  </si>
  <si>
    <t>Цель: Совершенствование системы профилактических мер антитеррористической и антиэкстремистской направленности, предупреждение террористических, экстремистских и ксенофобных проявлений, укрепление и дальнейшее распространение норм и установок толерантного сознания и поведения, формирование уважительного отношения к этнокультурным различиям</t>
  </si>
  <si>
    <t>Задача 1. Усиление информационно-пропагандистской деятельности, направленной на противодействие терроризму</t>
  </si>
  <si>
    <t>Мероприятие 1:Информационно-пропагандистское сопровождение мероприятий  по профилактике терроризма в молодежной среде.</t>
  </si>
  <si>
    <t>Задача 2. Усиление информационно-пропагандистской деятельности, направленной на противодействие экстремизму</t>
  </si>
  <si>
    <t>Мероприятие 1:Информационно-пропагандистское сопровождение мероприятий  по профилактике экстремизма в молодежной среде.</t>
  </si>
  <si>
    <t>Задача 3. Усиление информационно-пропагандистской деятельности, направленной на укрепление межнационального и межконфессионального согласия</t>
  </si>
  <si>
    <t>Мероприятие 1:Информационно-пропагандистское сопровождение мероприятий  по укреплению межнационального и межконфессионального согласия</t>
  </si>
  <si>
    <t xml:space="preserve">3. </t>
  </si>
  <si>
    <t>Всего по программе "Развитие образования в городском округе ЗАТО Свободный"  (постановление администрации ГО ЗАТО Свободный от 25.08.2022 № 470)</t>
  </si>
  <si>
    <t>3.1.</t>
  </si>
  <si>
    <t xml:space="preserve">Подпрограмма "Развитие дошкольного образования в городском округе ЗАТО Свободный" </t>
  </si>
  <si>
    <t>Всего по подпрограмме "Развитие дошкольного образования в городском округе ЗАТО Свободный"</t>
  </si>
  <si>
    <t>Цель 1: Обеспечение доступности дошкольного образования</t>
  </si>
  <si>
    <t>Задача 1: Обеспечение государственных гарантий прав граждан на получение общедоступного и бесплатного дошкольного образования в муниципальных дошкольных образовательных организациях</t>
  </si>
  <si>
    <t>Мероприятие 1: Финансово обеспечение государственных гарантий реализации прав на получение общедоступного дошкольного образования в муниципальных дошкольных образовательных организациях</t>
  </si>
  <si>
    <t>Мероприятие 2: Организация и обеспечение получения дошкольного образования, создание условий для присмотра и ухода за детьми, содержание детей в муниципальных дошкольных организациях</t>
  </si>
  <si>
    <t>Задача 2: Создание безопасных условий обучения в муниципальных дошкольных образовательных организациях</t>
  </si>
  <si>
    <t>Мероприятие 1: Организация и проведение мероприятий по приведению в соответствии с требованиями пожарной безопасности и санитарного законодательства зданий и помещений, в которых размещаются в муниципальные дошкольные образовательные учреждения</t>
  </si>
  <si>
    <t>Мероприятие 2: Организация и проведение мероприятий по обеспечению антитеррористической защищенности объектов (территорий) дошкольных образовательных организаций</t>
  </si>
  <si>
    <t>3.2.</t>
  </si>
  <si>
    <t>Подпрограмма "Развитие общего образования в городском округе ЗАТО Свободный"</t>
  </si>
  <si>
    <t>Всего по подпрограмме "Развитие общего образования в городском округе ЗАТО Свободный"</t>
  </si>
  <si>
    <t>Цель 2: Обеспечение доступности и качественного общего образования</t>
  </si>
  <si>
    <t>Задача 3: Обеспечение государственных гарантий прав граждан на получение общедоступного и бесплатного общего образования в муниципальных общеобразовательных организациях.</t>
  </si>
  <si>
    <t>Мероприятие 1: Ежемесячное денежное вознаграждение за классное руководство педагогическим работникам муниципальных общеобразовательных организаций</t>
  </si>
  <si>
    <t xml:space="preserve">Мероприятие 2: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</t>
  </si>
  <si>
    <t>Мероприятие 3: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</si>
  <si>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советник</t>
  </si>
  <si>
    <t>Задача 4: Организация предоставления общего образования и создание условий для содержания детей в муниципальных общеобразовательных организациях</t>
  </si>
  <si>
    <t>Мероприятие 1: Организация предоставления общего образования и создание условий для содержания детей и муниципальных общеобразовательных организациях</t>
  </si>
  <si>
    <t>организац предост общ образ</t>
  </si>
  <si>
    <t>Мероприятие 2: Создание в образовательных организациях условий для 
получения детьми-инвалидами качественного образования</t>
  </si>
  <si>
    <t>Мероприятие 4: Модернизация школьных систем образования</t>
  </si>
  <si>
    <t>Задача 5: Создание безопасных условий обучения в муниципальных общеобразовательных организациях</t>
  </si>
  <si>
    <t>Мероприятие 1: Организация и проведение мероприятий по приведению в соответствие с требованиями пожарной безопасности и санитарного законодательства зданий и помещений, в которых размещаются муниципальные общеобразовательные учреждения</t>
  </si>
  <si>
    <t xml:space="preserve">Мероприятие 2: Организация и проведение мероприятий по обеспечению антитеррористической защищенности объектов (территорий) муниципальных общеобразовательных организаций       </t>
  </si>
  <si>
    <t>Задача 6: Выявление и поддержка талантливых детей, обучающихся по программам общедоступного и бесплатного общего образования в муниципальных общеобразовательных организациях</t>
  </si>
  <si>
    <t>Мероприятие 1: Организация и проведение мероприятий направленных на выявление и поддержку талантливых детей</t>
  </si>
  <si>
    <t>Мероприятие 2: Создание центра образования естественно-научной и технологической направленностей «Точка роста»</t>
  </si>
  <si>
    <t>Задача 7: Осуществление мероприятий по организации питания в муниципальных общеобразовательных организациях</t>
  </si>
  <si>
    <t>Мероприятие 1: Организация бесплатного горячего питания обучающихся, получающих начальное общее образование в муниципальных общеобразовательных организациях</t>
  </si>
  <si>
    <t>Мероприятие 2: Организация питания обучающихся в муниципальных общеобразовательных организациях</t>
  </si>
  <si>
    <t>3.3.</t>
  </si>
  <si>
    <t>Подпрограмма "Развитие дополнительного образования в городском округе ЗАТО Свободный"</t>
  </si>
  <si>
    <t>Всего по подпрограмме:Развитие дополнительного образования в городском округе ЗАТО Свободный"</t>
  </si>
  <si>
    <t>Цель 3: Обеспечение доступности качественных образовательных услуг в сфере дополнительного образования</t>
  </si>
  <si>
    <t>Задача 8: Развитие системы дополнительного образования детей.</t>
  </si>
  <si>
    <t xml:space="preserve">Мероприятие 1: Финансовое обеспечение государственных гарантий прав на получений общедоступного и бесплатного дополнительного образования в муниципальных организациях дополнительного образования </t>
  </si>
  <si>
    <t>901 0703 1230020423. + л/с СЮТ                    901 1101 1230020423.</t>
  </si>
  <si>
    <t>Мероприятие 2: Финансовое  обеспечение мероприятий, связанных с поддержкой и выявлением талантливых воспитаников в муниципальных организациях дополнительного образования</t>
  </si>
  <si>
    <t>Мероприятие 3:Устройство волейбольной площадки</t>
  </si>
  <si>
    <t>Задача 9: Создание безопасных условий обучения в муниципальных организациях дополнительного образования</t>
  </si>
  <si>
    <t>Задача: Создание безопасных условий обучения в муниципальных организациях дополнительного образования</t>
  </si>
  <si>
    <t>Мероприятие 1: Организация и проведение мероприятий по приведению в соответствие с требованиями пожарной безопасности и санитарного законодательства зданий и помещений, в которых размещаются муниципальные учреждения дополнительного образования</t>
  </si>
  <si>
    <t>3.4.</t>
  </si>
  <si>
    <t>Подпрограмма "Другие вопросы в области образования городского округа ЗАТО Свободный"</t>
  </si>
  <si>
    <t>Всего по подпрограмме "Другие вопросы в области образования городского округа ЗАТО Свободный"</t>
  </si>
  <si>
    <t>Цель 4: Обеспечение реализации полномочий муниципалитета в сфере управления образованием</t>
  </si>
  <si>
    <t>Задача 10:  Обеспечение доступности качественных образовательных услуг в сфере образования городского округа ЗАТО Свободный</t>
  </si>
  <si>
    <t>Мероприятие 1: Организация и проведение мероприятий, направленных на повышение качества образовательных услуг.</t>
  </si>
  <si>
    <t>Задача 11: Обеспечение проведения муниципальных мероприятий в системе дошкольного, общего и дополнительного образования</t>
  </si>
  <si>
    <t>Мероприятие 1: Проведение муниципальных мероприятий в образовательных учреждениях</t>
  </si>
  <si>
    <t>Задача 12: Выявление и поддержка талантливых детей, обучающихся по программам дошкольного, общего и дополнительного образования в образовательных учреждениях городского округа ЗАТО Свободный</t>
  </si>
  <si>
    <t>Мероприятие 1: Организация и проведение мероприятий, направленных на выявление и поддержку талантливых детей.</t>
  </si>
  <si>
    <t>Задача 13: Повышение профессионализма управленческих кадров муниципальной системы образования</t>
  </si>
  <si>
    <t>Мероприятие 1: Финансовое обеспечение мероприятий, связанных с повышениме профессионализма управленческих кадров муниципальной системы образования</t>
  </si>
  <si>
    <t>3.5.</t>
  </si>
  <si>
    <t>Подпрограмма "Отдых и оздоровление детей городского округа ЗАТО свободный"</t>
  </si>
  <si>
    <t>Всего по подпрограмме "Отдых и оздоровление детей городского округа ЗАТО Свободный"</t>
  </si>
  <si>
    <t>Цель 5: Создание условий для сохранения здоровья и развития детей в городском округе ЗАТО Свободный</t>
  </si>
  <si>
    <t>Задача 14: Организация отдыха и оздоровления детей городского округа ЗАТО свободный</t>
  </si>
  <si>
    <t>Организация отдыха детей в оздоровительных и санаторно-курортных организациях</t>
  </si>
  <si>
    <t>Задача 15: Создание условий для организации досуга детей и развития малозатратных форм отдыха</t>
  </si>
  <si>
    <t>Проведение мероприятий для организации досуга детей и развития малозатратных форм отдыха</t>
  </si>
  <si>
    <t>4.</t>
  </si>
  <si>
    <t xml:space="preserve">Всего по муниципальной программе "Укрепление общественного здоровья на территории городского округа ЗАТО Свободный" на 2023-2030 годы (постановление администрации ГО ЗАТО Свободный от 30.08.2022 № 484) </t>
  </si>
  <si>
    <t>4.1.</t>
  </si>
  <si>
    <t>Подпрограмма "Профилактика ВИЧ-инфекции"</t>
  </si>
  <si>
    <t>Всего по подпрограмма "Профилактика ВИЧ-инфекции"</t>
  </si>
  <si>
    <t>Развитие системы профилактики ВИЧ-инфекции</t>
  </si>
  <si>
    <t>Задача 1: Обеспечение межведомственного взаимодействия в вопросах профилактики ВИЧ-инфекции</t>
  </si>
  <si>
    <t>Мероприятие 1:Обеспечение деятельности межведомственной координационной комиссии по противодействию распространения ВИЧ инфекции в городском округе ЗАТО Свободный.</t>
  </si>
  <si>
    <t>Мероприятие 2:Содействие в проведении диспансеризации населения</t>
  </si>
  <si>
    <t>Мероприятие 3:Проведение социологического опроса населения 15-49 лет по вопросу информированности населения о ВИЧ</t>
  </si>
  <si>
    <t>Задача 2: Создание постоянно действующей информационно-пропагандистской системы, направленной на профилактику ВИЧ-инфекции.</t>
  </si>
  <si>
    <t>Мероприятие 1:Организация и проведение информационной кампании по профилактике ВИЧ-инфекции (распространение  буклетов, плакатов, брошюр, листовок)</t>
  </si>
  <si>
    <t>Мероприятие 2:Подготовка и проведение конкурса плакатов"Мы - за жизнь"</t>
  </si>
  <si>
    <t>Мероприятие 3:Проведение спортивных мероприятий к Всемирному Дню борьбы со СПИДОМ (1декабря)</t>
  </si>
  <si>
    <t>Проведение акции "Красная ленточка и профилактических мероприятий "Миф и правда о СПИДЕ", "Мы за здоровый образ жизни"</t>
  </si>
  <si>
    <t>4.2.</t>
  </si>
  <si>
    <t>Подпрограмма "Профилактика туберкулеза"</t>
  </si>
  <si>
    <t>Всего по подпрограмме "Профилактика туберкулеза"</t>
  </si>
  <si>
    <t>Цель: Развитие системы профилактики туберкулеза</t>
  </si>
  <si>
    <t>Задача 1.  Обеспечение межведомственного взаимодействия в вопросах профилактики туберкулеза.</t>
  </si>
  <si>
    <t>Мероприятие 1:Обеспечение деятельности межведомственной координационной комиссии по противодействию распространения туберкулеза в городском округе ЗАТО Свободный.</t>
  </si>
  <si>
    <t>Мероприятие 3:Проведение мониторинга и анализ заболеваемости туберкулезом на территории городского округа</t>
  </si>
  <si>
    <t>Мероприятие 4:Содействие в привлечении к обследованию и лечению асоциальных граждан болеющих туберкулезом</t>
  </si>
  <si>
    <t>Задача 2.  Создание постоянно действующей информационно-пропагандистской системы, направленной на профилактику туберкулеза.</t>
  </si>
  <si>
    <t>Мероприятие 1:Организация и проведение информационной кампании по профилактике туберкулеза (распространение  буклетов, плакатов, брошюр, листовок)</t>
  </si>
  <si>
    <t>Мероприятие 2:Проведение спортивных мероприятий под эгидой борьбы с туберкулезом к Всемирному дню боьбы с туберкулезом  (24 марта)</t>
  </si>
  <si>
    <t>4.3.</t>
  </si>
  <si>
    <t>Подпрограмма "Профилактика незаконного потребления и оборота наркотических средств и психотропных веществ"</t>
  </si>
  <si>
    <t>Всего по подпрограмме "Профилактика незаконного потребления и оборота наркотических средств и психотропных веществ"</t>
  </si>
  <si>
    <t>Цель: Развитие системы профилактики наркомании</t>
  </si>
  <si>
    <t>Задача 1.  Обеспечение межведомственного взаимодействия в вопросах профилактики наркомании</t>
  </si>
  <si>
    <t>Мероприятие 1:Обеспечение деятельности антинаркотической комиссии</t>
  </si>
  <si>
    <t>Мероприятие 2:Содействие в организации взаимодействия всех субъектов профилактики</t>
  </si>
  <si>
    <t>Задача 2.  Создание постоянно действующей информационно-пропагандистской системы, направленной на профилактику наркомании</t>
  </si>
  <si>
    <t>Мероприятие 1:Проведение акций, приуроченных к Международному дню борьбы с наркоманией  (26 июня)</t>
  </si>
  <si>
    <t>Мероприятие 2:Проведение акций, флешмоб акций, направленных на профилактику наркомации в подростковой среде</t>
  </si>
  <si>
    <t>Мероприятие 3:Организация и проведение конкурса социальной рекламы по профилактике употребления ПАВ</t>
  </si>
  <si>
    <t>Мероприятие 4:Организация и проведение конкурса рисунков "Мое счастливое будущее"</t>
  </si>
  <si>
    <t>Мероприятие 5:Организация и проведение информационной кампании по профилактике наркомании (распространение  буклетов, плакатов, брошюр, листовок, оформление стендов)</t>
  </si>
  <si>
    <t>4.4.</t>
  </si>
  <si>
    <t>Подпрограмма "Профилактика алкогольной и табачной зависимости"</t>
  </si>
  <si>
    <t>Всего по подпрограмме "Профилактика алкогольной и табачной зависимости»</t>
  </si>
  <si>
    <t>Цель 1.  Развитие системы профилактики алкоголизма и табачной зависимости</t>
  </si>
  <si>
    <t>Задача 1.  Обеспечение межведомственного взаимодействия в вопросах алкоголизма и табачной зависимости</t>
  </si>
  <si>
    <t>Мероприятие 1:Содействие в проведении диспансеризации населения</t>
  </si>
  <si>
    <t>Задача 2.  Создание постоянно действующей информационно-пропагандистской системы, направленной на профилактику алкогольной и табачной зависимости</t>
  </si>
  <si>
    <t>Мероприятие 1:Организация и проведение акций приуроченных ко Дню трезвости "Трезвость-норма жизни"</t>
  </si>
  <si>
    <t>Мероприятие 2:Организация и проведение информационной кампании по профилактике алкогольной и табачной зависимости (распространение  буклетов, плакатов, брошюр, листовок, оформление стендов)</t>
  </si>
  <si>
    <t>Мероприятие 3:Профилактическая уличная акция "Употребляй апельсин, а не никотин!" к Всемирному дню без табака 31 мая</t>
  </si>
  <si>
    <t>4.5.</t>
  </si>
  <si>
    <t>Подпрограмма "Формирование здорового образа жизни"</t>
  </si>
  <si>
    <t>Всего по подпрограмме "Формирование здорового образа жизни"</t>
  </si>
  <si>
    <t>Цель 1. Формирование у населения навыков здорового образа жизни.</t>
  </si>
  <si>
    <t>Задача 1.  Обеспечение межведомственного взаимодействия по формированию здорового образа жизни.</t>
  </si>
  <si>
    <t xml:space="preserve">Мероприятие 1:Обеспечение деятельности межведомственного координационного совета по формированию здорового образа жизни </t>
  </si>
  <si>
    <t>Мероприятие 2:Обеспечение взаимодействия всех субъектов профилактики</t>
  </si>
  <si>
    <t xml:space="preserve">Задача 2.  Создание постоянно действующей информационно-пропагандистской системы, направленной на формирование здорового образа жизни. </t>
  </si>
  <si>
    <t>Мероприятие 1:Организация и проведение  акций, направленных на предупреждение заболеваний, установок на здоровый образ жизни</t>
  </si>
  <si>
    <t>Мероприятие 2:Организация и проведение информационной кампании по вопросам гигиены человека, профилактике инфекционных заболеваний, формированию навыков ЗОЖ, рациональному питанию, о вреде курения( распространение  буклетов, плакатов, брошюр, листовок, оформление стендов) (7 июня - Всемирный день безопасности пищевых продуктов</t>
  </si>
  <si>
    <t>Мероприятие 3:Организация и проведение флешмоб акции "МОЛОДЕЖЬ ЗА ЗОЖ"</t>
  </si>
  <si>
    <t>Подпрограмма "Профилактика иных заболеваний"</t>
  </si>
  <si>
    <t>Всего по подпрограмме "Профилактика иных заболеваний"</t>
  </si>
  <si>
    <t>Цель 1. Создание системы профилактики заболеваний населения.</t>
  </si>
  <si>
    <t>Задача 1.  Обеспечение межведомственного взаимодействия по вопросам профилактики заболеваний населения.</t>
  </si>
  <si>
    <t>Мероприятие 1:Обеспечение заседаний санитарно-противоэпидемической комиссии</t>
  </si>
  <si>
    <t>Мероприятие 2: Содействие в проведении диспансеризации населения</t>
  </si>
  <si>
    <t>Задача 2.  Создание постоянно действующей информационно-пропагандистской системы, направленной на профилактику заболеваний</t>
  </si>
  <si>
    <t>Мероприятие 1: Организация и проведение информационной кампании, направленной на информирование населения по вопросам профилактики хронических неинфекционных заболеваний, посвященных Всемирным Дням здоровья, согласно календарю ВОЗ: 4 февраля – День борьбы с онкологическими заболеваниями, 7 апреля - Всемирный день здоровья, 29 сентября - Всемирный день сердца, 29 октября - Всемирный день борьбы с инсультом</t>
  </si>
  <si>
    <t>Мероприятие 2: Обеспечение санитарно-противоэпидемического благополучия и профилактика инфекционных заболеваний, проведение акарицидных, дератизационных, дезинсекционных мероприятий</t>
  </si>
  <si>
    <t>5.</t>
  </si>
  <si>
    <t>Всего по муниципальной программе "Развитие культуры, спорта и молодежной политики в городском округе ЗАТО Свободный"  (постановление администрации ГО ЗАТО Свободный от 25.08.2022 № 475)</t>
  </si>
  <si>
    <t>5.1.</t>
  </si>
  <si>
    <t>Подпрограмма "Развитие культуры в городском округе ЗАТО Свободный"</t>
  </si>
  <si>
    <t>Всего по подпрограмме "Развитие культуры в городском округе ЗАТО Свободный"</t>
  </si>
  <si>
    <t>Цель: Обеспечение доступности культурных благ и повышение культурного потенциала</t>
  </si>
  <si>
    <t>Задача 1:Создание условий для культурно-творческой деятельности и самореализации граждан</t>
  </si>
  <si>
    <t>Мероприятие 1:Организация и проведение культурно-массовых мероприятий</t>
  </si>
  <si>
    <t>Задача 2: Повышение доступности и качества услуг, оказываемых населению в сфере культуры</t>
  </si>
  <si>
    <t>Мероприятие 1:Обеспечение деятельности учреждений культуры</t>
  </si>
  <si>
    <t xml:space="preserve">Мероприятие 2:  Приобретение устройств (средств) дезинфекции и медицинского контроля для муниципальных образовательных учреждений дополнительного образования в целях профилактики и устранения последствий распространения новой коронавирусной инфекции  </t>
  </si>
  <si>
    <t>Мероприятие 3:Приведение в соответствие с требованиями санитарного и пожарного законодательства зданий сооружений и помещений учреждений культуры</t>
  </si>
  <si>
    <t xml:space="preserve">Мероприятие 4: Модернизация библиотек в части комплектования книжных фондов          </t>
  </si>
  <si>
    <t>Задача 3: Создание условий для сохранения и развития кадрового потенциала в сфере культуры</t>
  </si>
  <si>
    <t>Мероприятие 1:Оплата труда работников учреждений культуры</t>
  </si>
  <si>
    <t>5.2.</t>
  </si>
  <si>
    <t>Подпрограмма "Развитие физической культуры и спорта"</t>
  </si>
  <si>
    <t>Всего по подпрограмме "Развитие физической культуры и спорта"</t>
  </si>
  <si>
    <t>Цель: Создание условий для приобщения населения к регулярным занятиям физической культурой и спортом"</t>
  </si>
  <si>
    <t>Задача 1: Повышение мотивации граждан к регулярным занятиям физической культурой и спортом</t>
  </si>
  <si>
    <t xml:space="preserve">Мероприятие 1: Организация и проведение спортивно-массовых мероприятий </t>
  </si>
  <si>
    <t>Задача 2: Привлечение населения к занятиям физической культурой и спортом</t>
  </si>
  <si>
    <t>Мероприятие 1: Организация и проведение мероприятий, направленных на привлечение населения к массовым занятиям спортом</t>
  </si>
  <si>
    <t>Мероприятие 2: Реализация мероприятий по внедрению по внедрению Всероссийского физкультурно-спортивного комплекса 
«Готов к труду и обороне» (ГТО)</t>
  </si>
  <si>
    <t>5.3.</t>
  </si>
  <si>
    <t>Подпрограмма"Реализация молодежной политики в городском округе ЗАТО Свободный"</t>
  </si>
  <si>
    <t>Всего по подпрограмме "Реализация молодежной политики в городском округе ЗАТО Свободный"</t>
  </si>
  <si>
    <t>Цель: Создание благоприятных условий для гражданского становления и самореализации молодежи, поддержка и развитие молодежных инициатив</t>
  </si>
  <si>
    <t>Задача 1:  Формирование целостной системы поддержки инициативной и талантливой молодежи, обладающей лидерскими навыками</t>
  </si>
  <si>
    <t>Мероприятие 1:Организация и проведение мероприятий для молодежи, в том числе, направленных на развитие инициативы и лидерских качеств у молодежи</t>
  </si>
  <si>
    <t>Мероприятие 2:Организация  и проведение в ГО ЗАТО Свободный мероприятий в рамках развития общественных объединений</t>
  </si>
  <si>
    <t>Задача 2: Формирование ценностных установок на создание семьи, ответственного материнства и отцовства</t>
  </si>
  <si>
    <t>Мероприятие 1:Организация и проведение мероприятий, направленных на поддержку семейных ценностей</t>
  </si>
  <si>
    <t>5.4.</t>
  </si>
  <si>
    <t>Подпрограмма "Патриотическое воспитание детей и молодежи городского округа ЗАТО Свободный"</t>
  </si>
  <si>
    <t>Всего по подпрограмме "Патриотическое воспитание детей и молодежи городского округа ЗАТО Свободный"</t>
  </si>
  <si>
    <t>Цель: Развитие системы патриотического воспитания детей и молодежи</t>
  </si>
  <si>
    <t>Задача 1: Гражданско-патриотическое воспитание молодежи, содействие формированию правовых, культурных ценностей в молодежной среде</t>
  </si>
  <si>
    <t xml:space="preserve">Мероприятие 1:Организация и проведение мероприятий патриотической направленности </t>
  </si>
  <si>
    <t>Задача 2: Развитие военно-патриотического направления воспитания молодежи городского округа ЗАТО Свободный на основе формирования профессионально значимых качеств, умений и готовности к их активному проявлению в процессе военной и государственной службы, верности конституционному и воинскому долгу</t>
  </si>
  <si>
    <t>Мероприятие 1:Организация и проведение мероприятий по допризывной подготовке молодежи к военной службе</t>
  </si>
  <si>
    <t>6.</t>
  </si>
  <si>
    <t xml:space="preserve">Всего по муниципальной программе "Развитие городского хозяйства" (постановление администрации ГО ЗАТО Свободный от 30.08.2022 № 482) </t>
  </si>
  <si>
    <t>6.1.</t>
  </si>
  <si>
    <t>Подпрограмма " Обеспечение качества условий проживания населения и улучшение жилищных условий"</t>
  </si>
  <si>
    <t>Всего по подпрограмме "Обеспечение  качества условий проживания населения и улучшение жилищных условий"</t>
  </si>
  <si>
    <t>Цель: Повышение качества и безопасности проживания населения</t>
  </si>
  <si>
    <t>Задача 1: Обеспечение комфортных условий проживания, повышения качества и условий жизни населения</t>
  </si>
  <si>
    <t>Мероприятие 1:Обеспечение проведения капитального ремонта в муниципальном жилищном фонде</t>
  </si>
  <si>
    <t>0501 4610020350243.</t>
  </si>
  <si>
    <t>окна крыша кап 240000-экспер, 800000 окна 2176165 ремонт непригод квар</t>
  </si>
  <si>
    <t>Мероприятие 2:Обеспечение выполнения функций собственника жилых помещений по внесению взносов на капитальный ремонт общего имущества многоквартирных домов</t>
  </si>
  <si>
    <t>взносы на кап ремонт</t>
  </si>
  <si>
    <t>Задача 2: Исполнение иных полномочий в жилищной сфере</t>
  </si>
  <si>
    <t>Мероприятие 1:Обеспечение исполнения иных полномочий в жилищной сфере</t>
  </si>
  <si>
    <t>6,1 газ плита агентс вознагр рц урала</t>
  </si>
  <si>
    <t>6.2.</t>
  </si>
  <si>
    <t>Подпрограмма "Развитие коммунальной инфраструктуры"</t>
  </si>
  <si>
    <t>Всего по подпрограмме "Развитие коммунальной инфраструктуры"</t>
  </si>
  <si>
    <t>Мероприятие 1:Строительство комплекса очистных сооружений бытовой канализации</t>
  </si>
  <si>
    <t>Актуализация ПСД на строительство ОС и получение положительного заключения государственной экспертизы</t>
  </si>
  <si>
    <t>0502 4620050101. мест              0502 4620020352. мест.</t>
  </si>
  <si>
    <t>Мероприятие 2:Модернизация объекта водоподготовки на насосной станции третьего подъема городского округа ЗАТО Свободный Свердловской области с внедрением озоно­ сорбционной технологии</t>
  </si>
  <si>
    <t>0502 46200S2110. мест               0502 4620042110. обл</t>
  </si>
  <si>
    <t>Мероприятие 3.:Капитальный ремонт КНС и канализационной сети протяженностью 4 084 м.п. от КНС до строящихся очистных сооружений</t>
  </si>
  <si>
    <t>Переходящий МК № 24 от 11.09.2023, срок выполнения — 09.01.2024. На сегодняшний день выполнение работ по МК приостановлено, в связи с согласованием рабочей документации Заказчиком и РСО (МУП «Свободный Водоканал»)</t>
  </si>
  <si>
    <t>Мероприятие 4.:Субсидия из бюджета городского округа ЗАТО Свободный Муниципальному унитарному предприятию «Свободный Водоканал»  городского округа ЗАТО Свободный 
Свердловской области в целях формирования уставного фонда</t>
  </si>
  <si>
    <t>Цель 2. Повышение надежности систем и качества предоставляемых коммунальных услуг</t>
  </si>
  <si>
    <t>Задача 3. Обеспечение развития коммунальных систем и повышение качества предоставляемых коммунальных услуг</t>
  </si>
  <si>
    <t xml:space="preserve">Мероприятие 1:Обеспечение проведения капитального ремонта, содержание, модернизация  объектов коммунальной инфраструктуры в сфере водоснабжения, теплоснабжения, энергоснабжения    </t>
  </si>
  <si>
    <t>Задача 4.  Повышение энергоэффективности использования энергетических ресурсов в коммунальной сфере</t>
  </si>
  <si>
    <t>Мероприятие 1:Обеспечение исполнения иных полномочий в сфере коммунального хозяйства</t>
  </si>
  <si>
    <t>6.3.</t>
  </si>
  <si>
    <t>Подпрограмма: "Формирование современной городской среды"</t>
  </si>
  <si>
    <t>Всего по подпрограмме "Формирование современной городской среды"</t>
  </si>
  <si>
    <t xml:space="preserve">Модернизация системы уличного освещения городского округа ЗАТО Свободный
</t>
  </si>
  <si>
    <t>Цель: Повышение уровня благоустройства городского округа</t>
  </si>
  <si>
    <t>Задача 1: Обеспечение санитарно-эпидемиологичекого состояния и благоустройства территории городского округа</t>
  </si>
  <si>
    <t>Мероприятие 1:Обеспечение выполнения благоустройства территории и санитарно-эпидемиологического состояния</t>
  </si>
  <si>
    <t>л/с СМЗ  л/с админ</t>
  </si>
  <si>
    <t>6.4.</t>
  </si>
  <si>
    <t>Подпрограмма "Развитие дорожной деятельности"</t>
  </si>
  <si>
    <t>Всего по подпрограмме "Развитие дорожной деятельности"</t>
  </si>
  <si>
    <t>Цель: Сохранение и развитие автомобильных дорог и улично-дорожной сети</t>
  </si>
  <si>
    <t>Задача 1: Обеспечение проведения ремонта и повышения качества содержания автомобильных дорог и улично-дорожной сети</t>
  </si>
  <si>
    <t>Мероприятие 1:Приведение пешеходных переходов в соответствии с требованиями национальных стандартов</t>
  </si>
  <si>
    <t>0409 4640020315 244 226.</t>
  </si>
  <si>
    <t>л/с администр</t>
  </si>
  <si>
    <t xml:space="preserve">Мероприятие 2:Обеспечение содержания  дорог и улично-дорожной сети  </t>
  </si>
  <si>
    <t>0409 4640020315 244 225. СМЗ 0409 4640020315 244 310. Адм</t>
  </si>
  <si>
    <t xml:space="preserve">Мероприятие 3:Ремонт улично-дорожной сети </t>
  </si>
  <si>
    <t>Экономия контракта</t>
  </si>
  <si>
    <t>6.5.</t>
  </si>
  <si>
    <t>Подпрограмма "Энергосбережение и повышение энергоэффективности  систем коммунальной инфраструктуры"</t>
  </si>
  <si>
    <t>Всего по подпрограмме "Энергосбережение и повышение энергоэффективности  систем коммунальной инфраструктуры"</t>
  </si>
  <si>
    <t>Цель: Повышение энергоэффективности систем коммунальной инфраструктуры</t>
  </si>
  <si>
    <t>Задача 1: Модернизация оборудования систем теплоснабжения, водоснабжения, электроснабжения с использованием энергоэффективного оборудования с высоким коэффициентом полезного действия</t>
  </si>
  <si>
    <t>Мероприятие 1:Модернизация системы уличного освещения городского округа ЗАТО Свободный</t>
  </si>
  <si>
    <t>Мероприятие 2:Модернизация участка трубопровода теплоснабжения городского округа ЗАТО Свободный</t>
  </si>
  <si>
    <t>Всего по направлению «Научно-исследовательские и опытно-конструкторские работы»</t>
  </si>
  <si>
    <t>Всего по направлению «Прочие нужды»</t>
  </si>
  <si>
    <t>7.</t>
  </si>
  <si>
    <t xml:space="preserve">Всего по муниципальной программе «Обеспечение жильем молодых семей на территории городского округа ЗАТО Свободный» (постановление администрации ГО ЗАТО Свободный от 31.08.2022 № 486) </t>
  </si>
  <si>
    <t xml:space="preserve">Мероприятие 1: Выдача  молодым семьям в установленном порядке свидетельства о праве на получение социальной выплаты </t>
  </si>
  <si>
    <t>Мероприятие2: Предоставление социальных выплат на приобретение жилого помещения или строительство индивидуального жилого дома</t>
  </si>
  <si>
    <t>Мероприятие3: Освещение целей и задач программы в средствах массовой информации</t>
  </si>
  <si>
    <t xml:space="preserve">Всего по муниципальной программе "Поддержка социально ориентированных некоммерческих организаций в городском округе ЗАТО Свободный" на 2021-2029 годы (постановление администрации ГО ЗАТО Свободный от 10.03.2021 № 96, в ред. от 31.03.2022 № 152) </t>
  </si>
  <si>
    <t>Поддержка и развитие СОНКО, создание дополнительных условий для повышения гражданской активности жителей городского округа ЗАТО Свободный</t>
  </si>
  <si>
    <t>Задача:Создание на территории городского округа ЗАТО Свободный условий, способствующих развитию и функционированию СОНКО, реализующих социально значимые проекты</t>
  </si>
  <si>
    <t xml:space="preserve">Разработка нормативно-правовых актов о предоставлении субсидий из средств бюджета городского округа СОНКО </t>
  </si>
  <si>
    <t>Оказание информационной, консультативной (в т.ч. юридические консультации) поддержки СОНКО</t>
  </si>
  <si>
    <t>Предоставление субсидий из средств бюджета городского округа СОНКО</t>
  </si>
  <si>
    <t>Расход субсидии осуществляется согласно заявкам СОНКО.</t>
  </si>
  <si>
    <t xml:space="preserve">ИТОГО: </t>
  </si>
  <si>
    <t xml:space="preserve">Глава городского округа ЗАТО Свободный </t>
  </si>
  <si>
    <t>А.В. Иванов</t>
  </si>
  <si>
    <t>Начальник ОБУиФ</t>
  </si>
  <si>
    <t>С.Ф. Рыжкова</t>
  </si>
  <si>
    <t>Исполнитель: Антонюк Л.Н.</t>
  </si>
  <si>
    <t>Выполнение мероприятий муниципальных программ на 1 сентября 2023 года</t>
  </si>
  <si>
    <t>Всего            в тыс руб.</t>
  </si>
  <si>
    <t xml:space="preserve">    интернет антивирус                                          0106 0330221200 242.                                   0103 0330221200 242.                 0104 0330221200 242. </t>
  </si>
  <si>
    <t>газета                                                     1204 0330020457.</t>
  </si>
  <si>
    <t>901 1001 0330720190 312. обучение  адм-61,876   контр-12,580         дума-12,900 фин. -18.800</t>
  </si>
  <si>
    <t>все остальное     минус пенсия                            901 0102 0330121100.                   901 0104 0330221200. -пенсия         901 0113 0330020011.                         912 0103 0330221200.                         913 0106 0330221200.-пенсия         913 0106 0330221400.                  919 0106 330221200. - пенсия</t>
  </si>
  <si>
    <t xml:space="preserve">Мероприятие 1: Ремонт гидротехнического сооружения ГТС "Ива" </t>
  </si>
  <si>
    <t>л/с АХС 0310 1120020791.</t>
  </si>
  <si>
    <t>Организация отдыха детей в оздоровительных организациях и санаторно-курортных учреждениях</t>
  </si>
  <si>
    <t>посмотреть в прошлом квартале 164,8</t>
  </si>
  <si>
    <t>Мероприятие 1:Обеспечение иных полномочий в жилищной сфере</t>
  </si>
  <si>
    <t>Мероприятие 3.:Строительство коллектора от КНС до строящихся очистных сооружений бытовой канализации</t>
  </si>
  <si>
    <t>Всего по подпрограмме "Формирование комфортной городской среды"</t>
  </si>
  <si>
    <t>0503 4630020600. СМЗ                 0503 4630020600. Админ</t>
  </si>
  <si>
    <t>0409 4640020315 244 225.</t>
  </si>
  <si>
    <t xml:space="preserve">Всего по муниципальной программе "Поддержка социально ориентированных некоммерческих организаций в городском округе ЗАТО Свободный на 2021-2029 годы" (постановление администрации ГО ЗАТО Свободный от 10.03.2021 № 96, в ред. от 31.03.2022 № 152) </t>
  </si>
  <si>
    <t>Страхование жизни и здороья сотрудников добровольной народной дружины</t>
  </si>
  <si>
    <t>МК по установке камер видеонаблюдения не выставлен на торги+ спецсвязь</t>
  </si>
  <si>
    <t>Выполнение целевых показателей</t>
  </si>
  <si>
    <t>Срок исполнения договора по формированию техпланов февраль 2024</t>
  </si>
  <si>
    <t>Исполнение по решениям суда перенесено на 2024 год</t>
  </si>
  <si>
    <t>Плата за найм</t>
  </si>
  <si>
    <t>Неисполненные МК: экспертиза газопроводов, схема водоснабжения, ГИС Аксиома</t>
  </si>
  <si>
    <t>Экономия по контрактам</t>
  </si>
  <si>
    <t>Экономия по контракту, неисполненный МК по стройконтролю</t>
  </si>
  <si>
    <t>Неисполненный МК фигуры Дед Мороз и Снегурочка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</si>
</sst>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"/>
    <numFmt numFmtId="165" formatCode="#,##0.000"/>
    <numFmt numFmtId="166" formatCode="0.0%"/>
    <numFmt numFmtId="167" formatCode="0.0"/>
    <numFmt numFmtId="168" formatCode="0.00000"/>
    <numFmt numFmtId="169" formatCode="#,##0.000000"/>
  </numFmts>
  <fonts count="16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Arial Cyr"/>
      <charset val="204"/>
    </font>
    <font>
      <sz val="12"/>
      <color rgb="FF00000A"/>
      <name val="Times New Roman"/>
      <family val="1"/>
      <charset val="204"/>
    </font>
    <font>
      <b/>
      <sz val="12"/>
      <color rgb="FF00000A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name val="Arial Cyr"/>
      <charset val="204"/>
    </font>
    <font>
      <sz val="16"/>
      <name val="Arial Cyr"/>
      <charset val="204"/>
    </font>
    <font>
      <b/>
      <sz val="11.5"/>
      <name val="Times New Roman"/>
      <family val="1"/>
      <charset val="204"/>
    </font>
    <font>
      <sz val="10"/>
      <name val="Arial Cyr"/>
      <charset val="204"/>
    </font>
  </fonts>
  <fills count="11">
    <fill>
      <patternFill patternType="none"/>
    </fill>
    <fill>
      <patternFill patternType="gray125"/>
    </fill>
    <fill>
      <patternFill patternType="solid">
        <fgColor rgb="FF93CDDD"/>
        <bgColor rgb="FFB7DEE8"/>
      </patternFill>
    </fill>
    <fill>
      <patternFill patternType="solid">
        <fgColor rgb="FFFFFF00"/>
        <bgColor rgb="FFFFFF00"/>
      </patternFill>
    </fill>
    <fill>
      <patternFill patternType="solid">
        <fgColor rgb="FFF2DCDB"/>
        <bgColor rgb="FFE6E0EC"/>
      </patternFill>
    </fill>
    <fill>
      <patternFill patternType="solid">
        <fgColor rgb="FFFFFFFF"/>
        <bgColor rgb="FFFDEADA"/>
      </patternFill>
    </fill>
    <fill>
      <patternFill patternType="solid">
        <fgColor rgb="FFFDEADA"/>
        <bgColor rgb="FFF2DCDB"/>
      </patternFill>
    </fill>
    <fill>
      <patternFill patternType="solid">
        <fgColor rgb="FFE6E0EC"/>
        <bgColor rgb="FFF2DCDB"/>
      </patternFill>
    </fill>
    <fill>
      <patternFill patternType="solid">
        <fgColor rgb="FFB7DEE8"/>
        <bgColor rgb="FF93CDDD"/>
      </patternFill>
    </fill>
    <fill>
      <patternFill patternType="solid">
        <fgColor rgb="FFFFC000"/>
        <bgColor rgb="FFFF9900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5" fillId="0" borderId="0" applyBorder="0" applyProtection="0"/>
  </cellStyleXfs>
  <cellXfs count="26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/>
    <xf numFmtId="9" fontId="0" fillId="0" borderId="0" xfId="0" applyNumberFormat="1"/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/>
    </xf>
    <xf numFmtId="9" fontId="0" fillId="0" borderId="0" xfId="0" applyNumberFormat="1"/>
    <xf numFmtId="0" fontId="0" fillId="0" borderId="0" xfId="0" applyAlignment="1">
      <alignment horizontal="center" vertical="top"/>
    </xf>
    <xf numFmtId="0" fontId="4" fillId="2" borderId="2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vertical="top" wrapText="1"/>
    </xf>
    <xf numFmtId="164" fontId="4" fillId="2" borderId="2" xfId="0" applyNumberFormat="1" applyFont="1" applyFill="1" applyBorder="1" applyAlignment="1">
      <alignment vertical="top"/>
    </xf>
    <xf numFmtId="165" fontId="4" fillId="2" borderId="2" xfId="0" applyNumberFormat="1" applyFont="1" applyFill="1" applyBorder="1" applyAlignment="1">
      <alignment vertical="top"/>
    </xf>
    <xf numFmtId="9" fontId="4" fillId="2" borderId="4" xfId="0" applyNumberFormat="1" applyFont="1" applyFill="1" applyBorder="1" applyAlignment="1">
      <alignment vertical="top"/>
    </xf>
    <xf numFmtId="166" fontId="4" fillId="2" borderId="4" xfId="0" applyNumberFormat="1" applyFont="1" applyFill="1" applyBorder="1" applyAlignment="1">
      <alignment horizontal="center" vertical="top"/>
    </xf>
    <xf numFmtId="0" fontId="0" fillId="0" borderId="0" xfId="0" applyAlignment="1">
      <alignment vertical="top"/>
    </xf>
    <xf numFmtId="49" fontId="4" fillId="3" borderId="2" xfId="0" applyNumberFormat="1" applyFont="1" applyFill="1" applyBorder="1" applyAlignment="1">
      <alignment horizontal="center"/>
    </xf>
    <xf numFmtId="16" fontId="1" fillId="0" borderId="2" xfId="0" applyNumberFormat="1" applyFont="1" applyBorder="1" applyAlignment="1">
      <alignment horizontal="center" vertical="top"/>
    </xf>
    <xf numFmtId="0" fontId="1" fillId="0" borderId="2" xfId="0" applyFont="1" applyBorder="1" applyAlignment="1">
      <alignment vertical="top" wrapText="1"/>
    </xf>
    <xf numFmtId="164" fontId="1" fillId="4" borderId="2" xfId="0" applyNumberFormat="1" applyFont="1" applyFill="1" applyBorder="1" applyAlignment="1">
      <alignment vertical="top"/>
    </xf>
    <xf numFmtId="164" fontId="1" fillId="0" borderId="2" xfId="0" applyNumberFormat="1" applyFont="1" applyBorder="1" applyAlignment="1">
      <alignment vertical="top"/>
    </xf>
    <xf numFmtId="9" fontId="1" fillId="0" borderId="4" xfId="0" applyNumberFormat="1" applyFont="1" applyBorder="1" applyAlignment="1">
      <alignment vertical="top"/>
    </xf>
    <xf numFmtId="166" fontId="1" fillId="0" borderId="4" xfId="0" applyNumberFormat="1" applyFont="1" applyBorder="1" applyAlignment="1">
      <alignment horizontal="center" vertical="top" wrapText="1"/>
    </xf>
    <xf numFmtId="3" fontId="0" fillId="0" borderId="0" xfId="0" applyNumberFormat="1" applyFont="1" applyAlignment="1">
      <alignment vertical="top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top"/>
    </xf>
    <xf numFmtId="166" fontId="1" fillId="0" borderId="2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166" fontId="1" fillId="0" borderId="5" xfId="0" applyNumberFormat="1" applyFont="1" applyBorder="1" applyAlignment="1">
      <alignment horizontal="center" vertical="top"/>
    </xf>
    <xf numFmtId="0" fontId="4" fillId="3" borderId="2" xfId="0" applyFont="1" applyFill="1" applyBorder="1" applyAlignment="1">
      <alignment horizontal="center"/>
    </xf>
    <xf numFmtId="164" fontId="1" fillId="0" borderId="2" xfId="0" applyNumberFormat="1" applyFont="1" applyBorder="1" applyAlignment="1">
      <alignment horizontal="center" vertical="top" wrapText="1"/>
    </xf>
    <xf numFmtId="167" fontId="1" fillId="4" borderId="2" xfId="0" applyNumberFormat="1" applyFont="1" applyFill="1" applyBorder="1" applyAlignment="1">
      <alignment vertical="top"/>
    </xf>
    <xf numFmtId="167" fontId="1" fillId="0" borderId="2" xfId="0" applyNumberFormat="1" applyFont="1" applyBorder="1" applyAlignment="1">
      <alignment vertical="top"/>
    </xf>
    <xf numFmtId="9" fontId="1" fillId="0" borderId="4" xfId="0" applyNumberFormat="1" applyFont="1" applyBorder="1" applyAlignment="1">
      <alignment horizontal="right" vertical="top"/>
    </xf>
    <xf numFmtId="166" fontId="1" fillId="0" borderId="2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 wrapText="1"/>
    </xf>
    <xf numFmtId="167" fontId="1" fillId="4" borderId="2" xfId="0" applyNumberFormat="1" applyFont="1" applyFill="1" applyBorder="1" applyAlignment="1">
      <alignment horizontal="right" vertical="top" wrapText="1"/>
    </xf>
    <xf numFmtId="2" fontId="1" fillId="0" borderId="2" xfId="0" applyNumberFormat="1" applyFont="1" applyBorder="1" applyAlignment="1">
      <alignment horizontal="right" vertical="top" wrapText="1"/>
    </xf>
    <xf numFmtId="167" fontId="1" fillId="0" borderId="2" xfId="0" applyNumberFormat="1" applyFont="1" applyBorder="1" applyAlignment="1">
      <alignment horizontal="right" vertical="top" wrapText="1"/>
    </xf>
    <xf numFmtId="0" fontId="0" fillId="3" borderId="0" xfId="0" applyFont="1" applyFill="1" applyAlignment="1">
      <alignment vertical="top"/>
    </xf>
    <xf numFmtId="3" fontId="0" fillId="0" borderId="0" xfId="0" applyNumberFormat="1" applyFont="1" applyAlignment="1">
      <alignment vertical="top" wrapText="1"/>
    </xf>
    <xf numFmtId="167" fontId="0" fillId="0" borderId="0" xfId="0" applyNumberFormat="1" applyAlignment="1">
      <alignment vertical="top"/>
    </xf>
    <xf numFmtId="0" fontId="0" fillId="0" borderId="0" xfId="0" applyFont="1" applyAlignment="1">
      <alignment vertical="top" wrapText="1"/>
    </xf>
    <xf numFmtId="0" fontId="0" fillId="3" borderId="0" xfId="0" applyFont="1" applyFill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167" fontId="1" fillId="0" borderId="0" xfId="0" applyNumberFormat="1" applyFont="1" applyBorder="1" applyAlignment="1">
      <alignment horizontal="center" vertical="top" wrapText="1"/>
    </xf>
    <xf numFmtId="167" fontId="0" fillId="0" borderId="0" xfId="0" applyNumberFormat="1" applyFont="1" applyBorder="1"/>
    <xf numFmtId="0" fontId="0" fillId="0" borderId="0" xfId="0" applyFont="1"/>
    <xf numFmtId="166" fontId="5" fillId="0" borderId="4" xfId="0" applyNumberFormat="1" applyFont="1" applyBorder="1" applyAlignment="1">
      <alignment horizontal="center" vertical="top" wrapText="1"/>
    </xf>
    <xf numFmtId="16" fontId="1" fillId="0" borderId="6" xfId="0" applyNumberFormat="1" applyFont="1" applyBorder="1" applyAlignment="1">
      <alignment vertical="top" wrapText="1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wrapText="1"/>
    </xf>
    <xf numFmtId="166" fontId="1" fillId="2" borderId="2" xfId="0" applyNumberFormat="1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167" fontId="1" fillId="4" borderId="5" xfId="0" applyNumberFormat="1" applyFont="1" applyFill="1" applyBorder="1" applyAlignment="1">
      <alignment vertical="top"/>
    </xf>
    <xf numFmtId="167" fontId="1" fillId="0" borderId="5" xfId="0" applyNumberFormat="1" applyFont="1" applyBorder="1" applyAlignment="1">
      <alignment vertical="top"/>
    </xf>
    <xf numFmtId="0" fontId="4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164" fontId="1" fillId="4" borderId="2" xfId="0" applyNumberFormat="1" applyFont="1" applyFill="1" applyBorder="1"/>
    <xf numFmtId="164" fontId="1" fillId="0" borderId="2" xfId="0" applyNumberFormat="1" applyFont="1" applyBorder="1"/>
    <xf numFmtId="9" fontId="1" fillId="0" borderId="4" xfId="0" applyNumberFormat="1" applyFont="1" applyBorder="1"/>
    <xf numFmtId="0" fontId="1" fillId="0" borderId="2" xfId="0" applyFont="1" applyBorder="1" applyAlignment="1">
      <alignment horizontal="left" vertical="top" wrapText="1"/>
    </xf>
    <xf numFmtId="166" fontId="4" fillId="0" borderId="2" xfId="0" applyNumberFormat="1" applyFont="1" applyBorder="1" applyAlignment="1">
      <alignment horizontal="center" vertical="top"/>
    </xf>
    <xf numFmtId="0" fontId="4" fillId="3" borderId="2" xfId="0" applyFont="1" applyFill="1" applyBorder="1" applyAlignment="1">
      <alignment horizontal="center" vertical="center"/>
    </xf>
    <xf numFmtId="166" fontId="1" fillId="3" borderId="2" xfId="0" applyNumberFormat="1" applyFont="1" applyFill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167" fontId="1" fillId="4" borderId="7" xfId="0" applyNumberFormat="1" applyFont="1" applyFill="1" applyBorder="1" applyAlignment="1">
      <alignment vertical="top"/>
    </xf>
    <xf numFmtId="167" fontId="1" fillId="0" borderId="7" xfId="0" applyNumberFormat="1" applyFont="1" applyBorder="1" applyAlignment="1">
      <alignment vertical="top"/>
    </xf>
    <xf numFmtId="167" fontId="1" fillId="4" borderId="2" xfId="0" applyNumberFormat="1" applyFont="1" applyFill="1" applyBorder="1" applyAlignment="1">
      <alignment vertical="top" wrapText="1"/>
    </xf>
    <xf numFmtId="167" fontId="1" fillId="0" borderId="2" xfId="0" applyNumberFormat="1" applyFont="1" applyBorder="1" applyAlignment="1">
      <alignment vertical="top" wrapText="1"/>
    </xf>
    <xf numFmtId="9" fontId="1" fillId="0" borderId="2" xfId="0" applyNumberFormat="1" applyFont="1" applyBorder="1" applyAlignment="1">
      <alignment vertical="top"/>
    </xf>
    <xf numFmtId="166" fontId="1" fillId="3" borderId="2" xfId="0" applyNumberFormat="1" applyFont="1" applyFill="1" applyBorder="1" applyAlignment="1">
      <alignment horizontal="center" vertical="top"/>
    </xf>
    <xf numFmtId="9" fontId="1" fillId="0" borderId="4" xfId="1" applyFont="1" applyBorder="1" applyAlignment="1" applyProtection="1">
      <alignment vertical="top"/>
    </xf>
    <xf numFmtId="167" fontId="1" fillId="4" borderId="2" xfId="0" applyNumberFormat="1" applyFont="1" applyFill="1" applyBorder="1" applyAlignment="1">
      <alignment wrapText="1"/>
    </xf>
    <xf numFmtId="167" fontId="1" fillId="0" borderId="2" xfId="0" applyNumberFormat="1" applyFont="1" applyBorder="1" applyAlignment="1">
      <alignment wrapText="1"/>
    </xf>
    <xf numFmtId="9" fontId="1" fillId="0" borderId="4" xfId="0" applyNumberFormat="1" applyFont="1" applyBorder="1" applyAlignment="1"/>
    <xf numFmtId="0" fontId="0" fillId="0" borderId="0" xfId="0" applyAlignment="1"/>
    <xf numFmtId="0" fontId="1" fillId="2" borderId="2" xfId="0" applyFont="1" applyFill="1" applyBorder="1"/>
    <xf numFmtId="164" fontId="4" fillId="2" borderId="2" xfId="0" applyNumberFormat="1" applyFont="1" applyFill="1" applyBorder="1" applyAlignment="1">
      <alignment horizontal="center" wrapText="1"/>
    </xf>
    <xf numFmtId="166" fontId="4" fillId="2" borderId="4" xfId="0" applyNumberFormat="1" applyFont="1" applyFill="1" applyBorder="1" applyAlignment="1">
      <alignment horizontal="center"/>
    </xf>
    <xf numFmtId="166" fontId="1" fillId="2" borderId="2" xfId="0" applyNumberFormat="1" applyFont="1" applyFill="1" applyBorder="1" applyAlignment="1">
      <alignment wrapText="1"/>
    </xf>
    <xf numFmtId="0" fontId="1" fillId="3" borderId="2" xfId="0" applyFont="1" applyFill="1" applyBorder="1"/>
    <xf numFmtId="166" fontId="1" fillId="3" borderId="2" xfId="0" applyNumberFormat="1" applyFont="1" applyFill="1" applyBorder="1" applyAlignment="1">
      <alignment wrapText="1"/>
    </xf>
    <xf numFmtId="0" fontId="1" fillId="5" borderId="2" xfId="0" applyFont="1" applyFill="1" applyBorder="1"/>
    <xf numFmtId="0" fontId="4" fillId="5" borderId="2" xfId="0" applyFont="1" applyFill="1" applyBorder="1" applyAlignment="1">
      <alignment wrapText="1"/>
    </xf>
    <xf numFmtId="164" fontId="4" fillId="6" borderId="2" xfId="0" applyNumberFormat="1" applyFont="1" applyFill="1" applyBorder="1" applyAlignment="1">
      <alignment horizontal="center" wrapText="1"/>
    </xf>
    <xf numFmtId="164" fontId="4" fillId="5" borderId="2" xfId="0" applyNumberFormat="1" applyFont="1" applyFill="1" applyBorder="1" applyAlignment="1">
      <alignment horizontal="center" wrapText="1"/>
    </xf>
    <xf numFmtId="4" fontId="4" fillId="5" borderId="2" xfId="0" applyNumberFormat="1" applyFont="1" applyFill="1" applyBorder="1" applyAlignment="1">
      <alignment horizontal="center" wrapText="1"/>
    </xf>
    <xf numFmtId="166" fontId="4" fillId="5" borderId="4" xfId="0" applyNumberFormat="1" applyFont="1" applyFill="1" applyBorder="1" applyAlignment="1">
      <alignment horizontal="center"/>
    </xf>
    <xf numFmtId="166" fontId="1" fillId="5" borderId="2" xfId="0" applyNumberFormat="1" applyFont="1" applyFill="1" applyBorder="1" applyAlignment="1">
      <alignment wrapText="1"/>
    </xf>
    <xf numFmtId="0" fontId="1" fillId="5" borderId="2" xfId="0" applyFont="1" applyFill="1" applyBorder="1" applyAlignment="1">
      <alignment wrapText="1"/>
    </xf>
    <xf numFmtId="164" fontId="1" fillId="6" borderId="2" xfId="0" applyNumberFormat="1" applyFont="1" applyFill="1" applyBorder="1" applyAlignment="1">
      <alignment horizontal="center" wrapText="1"/>
    </xf>
    <xf numFmtId="164" fontId="1" fillId="5" borderId="2" xfId="0" applyNumberFormat="1" applyFont="1" applyFill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166" fontId="1" fillId="5" borderId="4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 vertical="center"/>
    </xf>
    <xf numFmtId="166" fontId="4" fillId="5" borderId="2" xfId="0" applyNumberFormat="1" applyFont="1" applyFill="1" applyBorder="1"/>
    <xf numFmtId="0" fontId="1" fillId="3" borderId="2" xfId="0" applyFont="1" applyFill="1" applyBorder="1" applyAlignment="1">
      <alignment horizontal="center" vertical="center"/>
    </xf>
    <xf numFmtId="166" fontId="4" fillId="3" borderId="2" xfId="0" applyNumberFormat="1" applyFont="1" applyFill="1" applyBorder="1"/>
    <xf numFmtId="4" fontId="4" fillId="5" borderId="2" xfId="0" applyNumberFormat="1" applyFont="1" applyFill="1" applyBorder="1" applyAlignment="1">
      <alignment horizontal="left" wrapText="1"/>
    </xf>
    <xf numFmtId="166" fontId="1" fillId="5" borderId="2" xfId="0" applyNumberFormat="1" applyFont="1" applyFill="1" applyBorder="1"/>
    <xf numFmtId="0" fontId="1" fillId="0" borderId="2" xfId="0" applyFont="1" applyBorder="1"/>
    <xf numFmtId="166" fontId="1" fillId="0" borderId="4" xfId="0" applyNumberFormat="1" applyFont="1" applyBorder="1" applyAlignment="1">
      <alignment horizontal="center"/>
    </xf>
    <xf numFmtId="166" fontId="1" fillId="0" borderId="2" xfId="0" applyNumberFormat="1" applyFont="1" applyBorder="1"/>
    <xf numFmtId="4" fontId="1" fillId="0" borderId="2" xfId="0" applyNumberFormat="1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166" fontId="1" fillId="0" borderId="5" xfId="0" applyNumberFormat="1" applyFont="1" applyBorder="1"/>
    <xf numFmtId="0" fontId="1" fillId="0" borderId="2" xfId="0" applyFont="1" applyBorder="1"/>
    <xf numFmtId="166" fontId="1" fillId="0" borderId="2" xfId="0" applyNumberFormat="1" applyFont="1" applyBorder="1" applyAlignment="1">
      <alignment horizontal="center"/>
    </xf>
    <xf numFmtId="166" fontId="1" fillId="3" borderId="2" xfId="0" applyNumberFormat="1" applyFont="1" applyFill="1" applyBorder="1"/>
    <xf numFmtId="0" fontId="4" fillId="0" borderId="2" xfId="0" applyFont="1" applyBorder="1" applyAlignment="1">
      <alignment horizontal="left" wrapText="1"/>
    </xf>
    <xf numFmtId="164" fontId="4" fillId="0" borderId="2" xfId="0" applyNumberFormat="1" applyFont="1" applyBorder="1" applyAlignment="1">
      <alignment horizontal="center" wrapText="1"/>
    </xf>
    <xf numFmtId="4" fontId="4" fillId="0" borderId="2" xfId="0" applyNumberFormat="1" applyFont="1" applyBorder="1" applyAlignment="1">
      <alignment horizontal="center" wrapText="1"/>
    </xf>
    <xf numFmtId="166" fontId="4" fillId="0" borderId="4" xfId="0" applyNumberFormat="1" applyFont="1" applyBorder="1"/>
    <xf numFmtId="4" fontId="1" fillId="0" borderId="2" xfId="0" applyNumberFormat="1" applyFont="1" applyBorder="1" applyAlignment="1">
      <alignment horizontal="left" wrapText="1"/>
    </xf>
    <xf numFmtId="0" fontId="0" fillId="0" borderId="0" xfId="0" applyFont="1" applyAlignment="1">
      <alignment wrapText="1"/>
    </xf>
    <xf numFmtId="0" fontId="0" fillId="3" borderId="0" xfId="0" applyFill="1"/>
    <xf numFmtId="166" fontId="6" fillId="3" borderId="2" xfId="0" applyNumberFormat="1" applyFont="1" applyFill="1" applyBorder="1"/>
    <xf numFmtId="0" fontId="4" fillId="0" borderId="2" xfId="0" applyFont="1" applyBorder="1" applyAlignment="1">
      <alignment wrapText="1"/>
    </xf>
    <xf numFmtId="4" fontId="4" fillId="6" borderId="2" xfId="0" applyNumberFormat="1" applyFont="1" applyFill="1" applyBorder="1" applyAlignment="1">
      <alignment horizontal="center" wrapText="1"/>
    </xf>
    <xf numFmtId="166" fontId="4" fillId="0" borderId="4" xfId="0" applyNumberFormat="1" applyFont="1" applyBorder="1" applyAlignment="1">
      <alignment horizontal="center"/>
    </xf>
    <xf numFmtId="4" fontId="4" fillId="5" borderId="2" xfId="0" applyNumberFormat="1" applyFont="1" applyFill="1" applyBorder="1" applyAlignment="1">
      <alignment wrapText="1"/>
    </xf>
    <xf numFmtId="164" fontId="4" fillId="2" borderId="2" xfId="0" applyNumberFormat="1" applyFont="1" applyFill="1" applyBorder="1" applyAlignment="1">
      <alignment vertical="top" wrapText="1"/>
    </xf>
    <xf numFmtId="9" fontId="1" fillId="2" borderId="4" xfId="0" applyNumberFormat="1" applyFont="1" applyFill="1" applyBorder="1" applyAlignment="1">
      <alignment vertical="top"/>
    </xf>
    <xf numFmtId="166" fontId="7" fillId="2" borderId="2" xfId="0" applyNumberFormat="1" applyFont="1" applyFill="1" applyBorder="1" applyAlignment="1">
      <alignment horizontal="center" vertical="top"/>
    </xf>
    <xf numFmtId="0" fontId="8" fillId="0" borderId="0" xfId="0" applyFont="1" applyAlignment="1">
      <alignment vertical="top"/>
    </xf>
    <xf numFmtId="0" fontId="8" fillId="0" borderId="0" xfId="0" applyFont="1"/>
    <xf numFmtId="0" fontId="6" fillId="0" borderId="2" xfId="0" applyFont="1" applyBorder="1" applyAlignment="1">
      <alignment horizontal="center" vertical="top"/>
    </xf>
    <xf numFmtId="166" fontId="6" fillId="0" borderId="2" xfId="0" applyNumberFormat="1" applyFont="1" applyBorder="1" applyAlignment="1">
      <alignment horizontal="center" vertical="top"/>
    </xf>
    <xf numFmtId="0" fontId="6" fillId="0" borderId="2" xfId="0" applyFont="1" applyBorder="1" applyAlignment="1">
      <alignment horizontal="center"/>
    </xf>
    <xf numFmtId="164" fontId="1" fillId="4" borderId="2" xfId="0" applyNumberFormat="1" applyFont="1" applyFill="1" applyBorder="1" applyAlignment="1">
      <alignment vertical="top" wrapText="1"/>
    </xf>
    <xf numFmtId="164" fontId="1" fillId="0" borderId="2" xfId="0" applyNumberFormat="1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0" fillId="0" borderId="0" xfId="0" applyFont="1"/>
    <xf numFmtId="0" fontId="0" fillId="0" borderId="2" xfId="0" applyBorder="1" applyAlignment="1">
      <alignment horizontal="center" vertical="top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167" fontId="11" fillId="0" borderId="0" xfId="0" applyNumberFormat="1" applyFont="1"/>
    <xf numFmtId="0" fontId="11" fillId="0" borderId="0" xfId="0" applyFont="1"/>
    <xf numFmtId="0" fontId="1" fillId="0" borderId="2" xfId="0" applyFont="1" applyBorder="1" applyAlignment="1">
      <alignment horizontal="center" vertical="top" wrapText="1"/>
    </xf>
    <xf numFmtId="0" fontId="12" fillId="0" borderId="0" xfId="0" applyFont="1" applyAlignment="1">
      <alignment vertical="top"/>
    </xf>
    <xf numFmtId="166" fontId="4" fillId="2" borderId="4" xfId="0" applyNumberFormat="1" applyFont="1" applyFill="1" applyBorder="1" applyAlignment="1">
      <alignment vertical="top"/>
    </xf>
    <xf numFmtId="0" fontId="1" fillId="2" borderId="2" xfId="0" applyFont="1" applyFill="1" applyBorder="1" applyAlignment="1">
      <alignment horizontal="center" vertical="top"/>
    </xf>
    <xf numFmtId="0" fontId="1" fillId="7" borderId="2" xfId="0" applyFont="1" applyFill="1" applyBorder="1" applyAlignment="1">
      <alignment horizontal="center" vertical="top"/>
    </xf>
    <xf numFmtId="0" fontId="1" fillId="7" borderId="2" xfId="0" applyFont="1" applyFill="1" applyBorder="1" applyAlignment="1">
      <alignment vertical="top" wrapText="1"/>
    </xf>
    <xf numFmtId="164" fontId="1" fillId="7" borderId="2" xfId="0" applyNumberFormat="1" applyFont="1" applyFill="1" applyBorder="1" applyAlignment="1">
      <alignment vertical="top"/>
    </xf>
    <xf numFmtId="9" fontId="1" fillId="7" borderId="4" xfId="0" applyNumberFormat="1" applyFont="1" applyFill="1" applyBorder="1" applyAlignment="1">
      <alignment vertical="top"/>
    </xf>
    <xf numFmtId="164" fontId="1" fillId="3" borderId="2" xfId="0" applyNumberFormat="1" applyFont="1" applyFill="1" applyBorder="1" applyAlignment="1">
      <alignment vertical="top"/>
    </xf>
    <xf numFmtId="167" fontId="1" fillId="7" borderId="2" xfId="0" applyNumberFormat="1" applyFont="1" applyFill="1" applyBorder="1" applyAlignment="1">
      <alignment vertical="top" wrapText="1"/>
    </xf>
    <xf numFmtId="2" fontId="1" fillId="4" borderId="2" xfId="0" applyNumberFormat="1" applyFont="1" applyFill="1" applyBorder="1" applyAlignment="1">
      <alignment vertical="top"/>
    </xf>
    <xf numFmtId="2" fontId="1" fillId="0" borderId="2" xfId="0" applyNumberFormat="1" applyFont="1" applyBorder="1" applyAlignment="1">
      <alignment vertical="top"/>
    </xf>
    <xf numFmtId="167" fontId="1" fillId="7" borderId="2" xfId="0" applyNumberFormat="1" applyFont="1" applyFill="1" applyBorder="1" applyAlignment="1">
      <alignment vertical="top"/>
    </xf>
    <xf numFmtId="2" fontId="1" fillId="7" borderId="2" xfId="0" applyNumberFormat="1" applyFont="1" applyFill="1" applyBorder="1" applyAlignment="1">
      <alignment vertical="top"/>
    </xf>
    <xf numFmtId="168" fontId="13" fillId="0" borderId="0" xfId="0" applyNumberFormat="1" applyFont="1" applyAlignment="1">
      <alignment vertical="top"/>
    </xf>
    <xf numFmtId="2" fontId="1" fillId="0" borderId="2" xfId="0" applyNumberFormat="1" applyFont="1" applyBorder="1" applyAlignment="1">
      <alignment vertical="top" wrapText="1"/>
    </xf>
    <xf numFmtId="1" fontId="1" fillId="0" borderId="8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167" fontId="1" fillId="0" borderId="0" xfId="0" applyNumberFormat="1" applyFont="1" applyBorder="1" applyAlignment="1">
      <alignment horizontal="center" vertical="top" wrapText="1"/>
    </xf>
    <xf numFmtId="167" fontId="0" fillId="0" borderId="0" xfId="0" applyNumberFormat="1" applyFont="1" applyBorder="1"/>
    <xf numFmtId="0" fontId="1" fillId="0" borderId="0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167" fontId="4" fillId="2" borderId="2" xfId="0" applyNumberFormat="1" applyFont="1" applyFill="1" applyBorder="1" applyAlignment="1">
      <alignment vertical="top"/>
    </xf>
    <xf numFmtId="9" fontId="1" fillId="2" borderId="2" xfId="0" applyNumberFormat="1" applyFont="1" applyFill="1" applyBorder="1" applyAlignment="1">
      <alignment vertical="top"/>
    </xf>
    <xf numFmtId="167" fontId="4" fillId="2" borderId="2" xfId="0" applyNumberFormat="1" applyFont="1" applyFill="1" applyBorder="1" applyAlignment="1">
      <alignment vertical="top" wrapText="1"/>
    </xf>
    <xf numFmtId="166" fontId="6" fillId="3" borderId="2" xfId="0" applyNumberFormat="1" applyFont="1" applyFill="1" applyBorder="1" applyAlignment="1">
      <alignment horizontal="center" vertical="top"/>
    </xf>
    <xf numFmtId="0" fontId="6" fillId="0" borderId="2" xfId="0" applyFont="1" applyBorder="1"/>
    <xf numFmtId="167" fontId="1" fillId="0" borderId="0" xfId="0" applyNumberFormat="1" applyFont="1" applyBorder="1" applyAlignment="1">
      <alignment wrapText="1"/>
    </xf>
    <xf numFmtId="169" fontId="4" fillId="4" borderId="2" xfId="0" applyNumberFormat="1" applyFont="1" applyFill="1" applyBorder="1"/>
    <xf numFmtId="167" fontId="1" fillId="0" borderId="2" xfId="0" applyNumberFormat="1" applyFont="1" applyBorder="1"/>
    <xf numFmtId="9" fontId="1" fillId="0" borderId="2" xfId="0" applyNumberFormat="1" applyFont="1" applyBorder="1"/>
    <xf numFmtId="0" fontId="1" fillId="8" borderId="2" xfId="0" applyFont="1" applyFill="1" applyBorder="1" applyAlignment="1">
      <alignment horizontal="center"/>
    </xf>
    <xf numFmtId="0" fontId="4" fillId="8" borderId="2" xfId="0" applyFont="1" applyFill="1" applyBorder="1"/>
    <xf numFmtId="165" fontId="4" fillId="8" borderId="2" xfId="0" applyNumberFormat="1" applyFont="1" applyFill="1" applyBorder="1"/>
    <xf numFmtId="166" fontId="4" fillId="8" borderId="4" xfId="0" applyNumberFormat="1" applyFont="1" applyFill="1" applyBorder="1"/>
    <xf numFmtId="0" fontId="1" fillId="8" borderId="2" xfId="0" applyFont="1" applyFill="1" applyBorder="1" applyAlignment="1">
      <alignment horizontal="center" vertical="top"/>
    </xf>
    <xf numFmtId="0" fontId="1" fillId="0" borderId="0" xfId="0" applyFont="1"/>
    <xf numFmtId="167" fontId="1" fillId="0" borderId="0" xfId="0" applyNumberFormat="1" applyFont="1"/>
    <xf numFmtId="9" fontId="1" fillId="0" borderId="0" xfId="0" applyNumberFormat="1" applyFont="1"/>
    <xf numFmtId="0" fontId="1" fillId="0" borderId="0" xfId="0" applyFont="1" applyAlignment="1">
      <alignment horizontal="center" vertical="top"/>
    </xf>
    <xf numFmtId="167" fontId="1" fillId="0" borderId="0" xfId="0" applyNumberFormat="1" applyFont="1"/>
    <xf numFmtId="9" fontId="1" fillId="0" borderId="0" xfId="0" applyNumberFormat="1" applyFont="1"/>
    <xf numFmtId="0" fontId="1" fillId="0" borderId="0" xfId="0" applyFont="1" applyAlignment="1">
      <alignment horizontal="center" vertical="top"/>
    </xf>
    <xf numFmtId="0" fontId="1" fillId="0" borderId="0" xfId="0" applyFont="1"/>
    <xf numFmtId="167" fontId="1" fillId="3" borderId="2" xfId="0" applyNumberFormat="1" applyFont="1" applyFill="1" applyBorder="1" applyAlignment="1">
      <alignment vertical="top"/>
    </xf>
    <xf numFmtId="164" fontId="1" fillId="9" borderId="2" xfId="0" applyNumberFormat="1" applyFont="1" applyFill="1" applyBorder="1" applyAlignment="1">
      <alignment vertical="top"/>
    </xf>
    <xf numFmtId="167" fontId="1" fillId="3" borderId="5" xfId="0" applyNumberFormat="1" applyFont="1" applyFill="1" applyBorder="1" applyAlignment="1">
      <alignment vertical="top"/>
    </xf>
    <xf numFmtId="2" fontId="1" fillId="3" borderId="2" xfId="0" applyNumberFormat="1" applyFont="1" applyFill="1" applyBorder="1" applyAlignment="1">
      <alignment vertical="top"/>
    </xf>
    <xf numFmtId="164" fontId="1" fillId="3" borderId="2" xfId="0" applyNumberFormat="1" applyFont="1" applyFill="1" applyBorder="1"/>
    <xf numFmtId="164" fontId="4" fillId="3" borderId="2" xfId="0" applyNumberFormat="1" applyFont="1" applyFill="1" applyBorder="1" applyAlignment="1">
      <alignment horizontal="center" wrapText="1"/>
    </xf>
    <xf numFmtId="164" fontId="1" fillId="3" borderId="2" xfId="0" applyNumberFormat="1" applyFont="1" applyFill="1" applyBorder="1" applyAlignment="1">
      <alignment horizontal="center" wrapText="1"/>
    </xf>
    <xf numFmtId="167" fontId="1" fillId="3" borderId="2" xfId="0" applyNumberFormat="1" applyFont="1" applyFill="1" applyBorder="1" applyAlignment="1">
      <alignment vertical="top" wrapText="1"/>
    </xf>
    <xf numFmtId="164" fontId="1" fillId="3" borderId="2" xfId="0" applyNumberFormat="1" applyFont="1" applyFill="1" applyBorder="1" applyAlignment="1">
      <alignment vertical="top" wrapText="1"/>
    </xf>
    <xf numFmtId="167" fontId="1" fillId="9" borderId="2" xfId="0" applyNumberFormat="1" applyFont="1" applyFill="1" applyBorder="1" applyAlignment="1">
      <alignment vertical="top"/>
    </xf>
    <xf numFmtId="167" fontId="1" fillId="4" borderId="2" xfId="0" applyNumberFormat="1" applyFont="1" applyFill="1" applyBorder="1"/>
    <xf numFmtId="167" fontId="1" fillId="3" borderId="2" xfId="0" applyNumberFormat="1" applyFont="1" applyFill="1" applyBorder="1"/>
    <xf numFmtId="166" fontId="1" fillId="0" borderId="2" xfId="0" applyNumberFormat="1" applyFont="1" applyFill="1" applyBorder="1" applyAlignment="1">
      <alignment horizontal="center" vertical="top" wrapText="1"/>
    </xf>
    <xf numFmtId="9" fontId="1" fillId="0" borderId="4" xfId="0" applyNumberFormat="1" applyFont="1" applyFill="1" applyBorder="1" applyAlignment="1">
      <alignment horizontal="left" wrapText="1"/>
    </xf>
    <xf numFmtId="164" fontId="1" fillId="10" borderId="2" xfId="0" applyNumberFormat="1" applyFont="1" applyFill="1" applyBorder="1" applyAlignment="1">
      <alignment horizontal="center" wrapText="1"/>
    </xf>
    <xf numFmtId="164" fontId="1" fillId="0" borderId="2" xfId="0" applyNumberFormat="1" applyFont="1" applyFill="1" applyBorder="1" applyAlignment="1">
      <alignment vertical="top"/>
    </xf>
    <xf numFmtId="0" fontId="1" fillId="0" borderId="2" xfId="0" applyFont="1" applyBorder="1" applyAlignment="1">
      <alignment horizontal="center"/>
    </xf>
    <xf numFmtId="0" fontId="4" fillId="3" borderId="2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4" fillId="3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1" fillId="0" borderId="0" xfId="0" applyFont="1" applyBorder="1" applyAlignment="1">
      <alignment horizontal="left"/>
    </xf>
    <xf numFmtId="0" fontId="4" fillId="3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center" wrapText="1"/>
    </xf>
    <xf numFmtId="0" fontId="4" fillId="3" borderId="2" xfId="0" applyFont="1" applyFill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/>
    </xf>
    <xf numFmtId="4" fontId="1" fillId="0" borderId="2" xfId="0" applyNumberFormat="1" applyFont="1" applyBorder="1" applyAlignment="1">
      <alignment horizontal="center" wrapText="1"/>
    </xf>
    <xf numFmtId="0" fontId="1" fillId="5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wrapText="1"/>
    </xf>
    <xf numFmtId="0" fontId="0" fillId="0" borderId="0" xfId="0" applyBorder="1" applyAlignment="1">
      <alignment horizontal="center" vertical="top"/>
    </xf>
    <xf numFmtId="0" fontId="2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center" wrapText="1"/>
    </xf>
    <xf numFmtId="0" fontId="0" fillId="0" borderId="0" xfId="0" applyFill="1"/>
    <xf numFmtId="0" fontId="0" fillId="0" borderId="0" xfId="0" applyFill="1" applyAlignment="1">
      <alignment vertical="top"/>
    </xf>
    <xf numFmtId="3" fontId="0" fillId="0" borderId="0" xfId="0" applyNumberFormat="1" applyFont="1" applyFill="1" applyAlignment="1">
      <alignment vertical="top"/>
    </xf>
    <xf numFmtId="0" fontId="0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0" fillId="0" borderId="0" xfId="0" applyFont="1" applyFill="1" applyBorder="1" applyAlignment="1">
      <alignment horizontal="center" vertical="top" wrapText="1"/>
    </xf>
    <xf numFmtId="0" fontId="0" fillId="0" borderId="0" xfId="0" applyFont="1" applyFill="1" applyAlignment="1">
      <alignment vertical="top"/>
    </xf>
    <xf numFmtId="3" fontId="0" fillId="0" borderId="0" xfId="0" applyNumberFormat="1" applyFont="1" applyFill="1" applyAlignment="1">
      <alignment vertical="top" wrapText="1"/>
    </xf>
    <xf numFmtId="0" fontId="0" fillId="0" borderId="0" xfId="0" applyFont="1" applyFill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167" fontId="1" fillId="0" borderId="0" xfId="0" applyNumberFormat="1" applyFont="1" applyFill="1" applyBorder="1" applyAlignment="1">
      <alignment horizontal="center" vertical="top" wrapText="1"/>
    </xf>
    <xf numFmtId="167" fontId="0" fillId="0" borderId="0" xfId="0" applyNumberFormat="1" applyFont="1" applyFill="1" applyBorder="1"/>
    <xf numFmtId="0" fontId="0" fillId="0" borderId="0" xfId="0" applyFont="1" applyFill="1"/>
    <xf numFmtId="0" fontId="0" fillId="0" borderId="0" xfId="0" applyFill="1" applyAlignment="1"/>
    <xf numFmtId="0" fontId="0" fillId="0" borderId="0" xfId="0" applyFont="1" applyFill="1" applyAlignment="1">
      <alignment wrapText="1"/>
    </xf>
    <xf numFmtId="0" fontId="8" fillId="0" borderId="0" xfId="0" applyFont="1" applyFill="1" applyAlignment="1">
      <alignment vertical="top"/>
    </xf>
    <xf numFmtId="0" fontId="8" fillId="0" borderId="0" xfId="0" applyFont="1" applyFill="1"/>
    <xf numFmtId="0" fontId="10" fillId="0" borderId="0" xfId="0" applyFont="1" applyFill="1" applyBorder="1" applyAlignment="1">
      <alignment vertical="center" wrapText="1"/>
    </xf>
    <xf numFmtId="167" fontId="11" fillId="0" borderId="0" xfId="0" applyNumberFormat="1" applyFont="1" applyFill="1"/>
    <xf numFmtId="0" fontId="11" fillId="0" borderId="0" xfId="0" applyFont="1" applyFill="1"/>
    <xf numFmtId="0" fontId="12" fillId="0" borderId="0" xfId="0" applyFont="1" applyFill="1" applyAlignment="1">
      <alignment vertical="top"/>
    </xf>
    <xf numFmtId="168" fontId="13" fillId="0" borderId="0" xfId="0" applyNumberFormat="1" applyFont="1" applyFill="1" applyAlignment="1">
      <alignment vertical="top"/>
    </xf>
    <xf numFmtId="167" fontId="1" fillId="0" borderId="0" xfId="0" applyNumberFormat="1" applyFont="1" applyFill="1" applyBorder="1" applyAlignment="1">
      <alignment wrapText="1"/>
    </xf>
    <xf numFmtId="164" fontId="1" fillId="0" borderId="2" xfId="0" applyNumberFormat="1" applyFont="1" applyFill="1" applyBorder="1" applyAlignment="1">
      <alignment horizontal="center" wrapText="1"/>
    </xf>
    <xf numFmtId="167" fontId="1" fillId="0" borderId="2" xfId="0" applyNumberFormat="1" applyFont="1" applyFill="1" applyBorder="1" applyAlignment="1">
      <alignment vertical="top"/>
    </xf>
    <xf numFmtId="2" fontId="1" fillId="0" borderId="2" xfId="0" applyNumberFormat="1" applyFont="1" applyFill="1" applyBorder="1" applyAlignment="1">
      <alignment vertical="top"/>
    </xf>
    <xf numFmtId="164" fontId="1" fillId="0" borderId="2" xfId="0" applyNumberFormat="1" applyFont="1" applyFill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E6E0EC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2DCDB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52"/>
  <sheetViews>
    <sheetView tabSelected="1" zoomScale="75" zoomScaleNormal="75" workbookViewId="0">
      <pane ySplit="1" topLeftCell="A248" activePane="bottomLeft" state="frozen"/>
      <selection pane="bottomLeft" activeCell="H275" sqref="H275"/>
    </sheetView>
  </sheetViews>
  <sheetFormatPr defaultColWidth="9.28515625" defaultRowHeight="15.75" x14ac:dyDescent="0.25"/>
  <cols>
    <col min="1" max="1" width="6.7109375" style="1" customWidth="1"/>
    <col min="2" max="2" width="41" customWidth="1"/>
    <col min="3" max="3" width="17.140625" style="2" customWidth="1"/>
    <col min="4" max="4" width="15.5703125" customWidth="1"/>
    <col min="5" max="5" width="16.85546875" customWidth="1"/>
    <col min="6" max="6" width="15" customWidth="1"/>
    <col min="7" max="7" width="19.28515625" style="2" customWidth="1"/>
    <col min="8" max="8" width="19" customWidth="1"/>
    <col min="9" max="9" width="17.42578125" customWidth="1"/>
    <col min="10" max="10" width="15.7109375" customWidth="1"/>
    <col min="11" max="11" width="12.28515625" style="3" customWidth="1"/>
    <col min="12" max="12" width="30.7109375" style="4" customWidth="1"/>
    <col min="14" max="14" width="35.140625" customWidth="1"/>
  </cols>
  <sheetData>
    <row r="1" spans="1:20" s="2" customFormat="1" ht="49.5" customHeight="1" x14ac:dyDescent="0.3">
      <c r="A1" s="5"/>
      <c r="B1" s="226" t="s">
        <v>0</v>
      </c>
      <c r="C1" s="226"/>
      <c r="D1" s="226"/>
      <c r="E1" s="226"/>
      <c r="F1" s="226"/>
      <c r="G1" s="226"/>
      <c r="H1" s="226"/>
      <c r="I1" s="226"/>
      <c r="J1" s="226"/>
      <c r="K1" s="226"/>
      <c r="L1" s="226"/>
    </row>
    <row r="2" spans="1:20" s="2" customFormat="1" x14ac:dyDescent="0.25">
      <c r="A2" s="5"/>
      <c r="B2" s="2" t="s">
        <v>1</v>
      </c>
      <c r="K2" s="6"/>
      <c r="L2" s="7"/>
    </row>
    <row r="3" spans="1:20" s="2" customFormat="1" x14ac:dyDescent="0.25">
      <c r="A3" s="5"/>
      <c r="K3" s="227" t="s">
        <v>2</v>
      </c>
      <c r="L3" s="227"/>
    </row>
    <row r="4" spans="1:20" s="2" customFormat="1" ht="37.5" customHeight="1" x14ac:dyDescent="0.2">
      <c r="A4" s="210" t="s">
        <v>3</v>
      </c>
      <c r="B4" s="228" t="s">
        <v>4</v>
      </c>
      <c r="C4" s="229" t="s">
        <v>5</v>
      </c>
      <c r="D4" s="229"/>
      <c r="E4" s="229"/>
      <c r="F4" s="229"/>
      <c r="G4" s="230" t="s">
        <v>6</v>
      </c>
      <c r="H4" s="230"/>
      <c r="I4" s="230"/>
      <c r="J4" s="230"/>
      <c r="K4" s="231" t="s">
        <v>7</v>
      </c>
      <c r="L4" s="232" t="s">
        <v>8</v>
      </c>
      <c r="N4" s="234"/>
      <c r="O4" s="234"/>
      <c r="P4" s="234"/>
      <c r="Q4" s="234"/>
      <c r="R4" s="234"/>
      <c r="S4" s="234"/>
      <c r="T4" s="234"/>
    </row>
    <row r="5" spans="1:20" s="2" customFormat="1" ht="24" customHeight="1" x14ac:dyDescent="0.2">
      <c r="A5" s="210"/>
      <c r="B5" s="228"/>
      <c r="C5" s="228" t="s">
        <v>9</v>
      </c>
      <c r="D5" s="229" t="s">
        <v>10</v>
      </c>
      <c r="E5" s="229"/>
      <c r="F5" s="229"/>
      <c r="G5" s="230" t="s">
        <v>11</v>
      </c>
      <c r="H5" s="229" t="s">
        <v>12</v>
      </c>
      <c r="I5" s="229"/>
      <c r="J5" s="229"/>
      <c r="K5" s="231"/>
      <c r="L5" s="232"/>
      <c r="N5" s="234"/>
      <c r="O5" s="234"/>
      <c r="P5" s="234"/>
      <c r="Q5" s="234"/>
      <c r="R5" s="234"/>
      <c r="S5" s="234"/>
      <c r="T5" s="234"/>
    </row>
    <row r="6" spans="1:20" s="2" customFormat="1" ht="12.75" customHeight="1" x14ac:dyDescent="0.2">
      <c r="A6" s="210"/>
      <c r="B6" s="228"/>
      <c r="C6" s="228"/>
      <c r="D6" s="228" t="s">
        <v>13</v>
      </c>
      <c r="E6" s="228" t="s">
        <v>14</v>
      </c>
      <c r="F6" s="233" t="s">
        <v>15</v>
      </c>
      <c r="G6" s="230"/>
      <c r="H6" s="228" t="s">
        <v>13</v>
      </c>
      <c r="I6" s="228" t="s">
        <v>14</v>
      </c>
      <c r="J6" s="233" t="s">
        <v>15</v>
      </c>
      <c r="K6" s="231"/>
      <c r="L6" s="232"/>
      <c r="N6" s="234"/>
      <c r="O6" s="234"/>
      <c r="P6" s="234"/>
      <c r="Q6" s="234"/>
      <c r="R6" s="234"/>
      <c r="S6" s="234"/>
      <c r="T6" s="234"/>
    </row>
    <row r="7" spans="1:20" s="2" customFormat="1" ht="4.5" customHeight="1" x14ac:dyDescent="0.2">
      <c r="A7" s="210"/>
      <c r="B7" s="228"/>
      <c r="C7" s="228"/>
      <c r="D7" s="228"/>
      <c r="E7" s="228"/>
      <c r="F7" s="233"/>
      <c r="G7" s="230"/>
      <c r="H7" s="228"/>
      <c r="I7" s="228"/>
      <c r="J7" s="233"/>
      <c r="K7" s="231"/>
      <c r="L7" s="232"/>
      <c r="N7" s="234"/>
      <c r="O7" s="234"/>
      <c r="P7" s="234"/>
      <c r="Q7" s="234"/>
      <c r="R7" s="234"/>
      <c r="S7" s="234"/>
      <c r="T7" s="234"/>
    </row>
    <row r="8" spans="1:20" s="2" customFormat="1" ht="12.75" x14ac:dyDescent="0.2">
      <c r="A8" s="210"/>
      <c r="B8" s="228"/>
      <c r="C8" s="228"/>
      <c r="D8" s="228"/>
      <c r="E8" s="228"/>
      <c r="F8" s="233"/>
      <c r="G8" s="230"/>
      <c r="H8" s="228"/>
      <c r="I8" s="228"/>
      <c r="J8" s="233"/>
      <c r="K8" s="231"/>
      <c r="L8" s="232"/>
      <c r="N8" s="234"/>
      <c r="O8" s="234"/>
      <c r="P8" s="234"/>
      <c r="Q8" s="234"/>
      <c r="R8" s="234"/>
      <c r="S8" s="234"/>
      <c r="T8" s="234"/>
    </row>
    <row r="9" spans="1:20" s="2" customFormat="1" ht="12.75" x14ac:dyDescent="0.2">
      <c r="A9" s="210"/>
      <c r="B9" s="228"/>
      <c r="C9" s="228"/>
      <c r="D9" s="228"/>
      <c r="E9" s="228"/>
      <c r="F9" s="233"/>
      <c r="G9" s="230"/>
      <c r="H9" s="228"/>
      <c r="I9" s="228"/>
      <c r="J9" s="233"/>
      <c r="K9" s="231"/>
      <c r="L9" s="232"/>
      <c r="N9" s="234"/>
      <c r="O9" s="234"/>
      <c r="P9" s="234"/>
      <c r="Q9" s="234"/>
      <c r="R9" s="234"/>
      <c r="S9" s="234"/>
      <c r="T9" s="234"/>
    </row>
    <row r="10" spans="1:20" s="2" customFormat="1" ht="12.75" x14ac:dyDescent="0.2">
      <c r="A10" s="210"/>
      <c r="B10" s="228"/>
      <c r="C10" s="228"/>
      <c r="D10" s="228"/>
      <c r="E10" s="228"/>
      <c r="F10" s="233"/>
      <c r="G10" s="230"/>
      <c r="H10" s="228"/>
      <c r="I10" s="228"/>
      <c r="J10" s="233"/>
      <c r="K10" s="231"/>
      <c r="L10" s="232"/>
      <c r="N10" s="234"/>
      <c r="O10" s="234"/>
      <c r="P10" s="234"/>
      <c r="Q10" s="234"/>
      <c r="R10" s="234"/>
      <c r="S10" s="234"/>
      <c r="T10" s="234"/>
    </row>
    <row r="11" spans="1:20" s="14" customFormat="1" ht="130.5" customHeight="1" x14ac:dyDescent="0.2">
      <c r="A11" s="8">
        <v>1</v>
      </c>
      <c r="B11" s="9" t="s">
        <v>16</v>
      </c>
      <c r="C11" s="10">
        <f>D11+E11+F11</f>
        <v>89031.46100000001</v>
      </c>
      <c r="D11" s="10">
        <f>SUM(D13+D19+D31+D45)</f>
        <v>88010.524000000005</v>
      </c>
      <c r="E11" s="11">
        <f>SUM(E13+E18+E31+E45)</f>
        <v>1020.9370000000001</v>
      </c>
      <c r="F11" s="11">
        <f>SUM(F13+F18+F31+F45)</f>
        <v>0</v>
      </c>
      <c r="G11" s="10">
        <f>SUM(G13+G19+G31+G45)</f>
        <v>79762.593000000008</v>
      </c>
      <c r="H11" s="10">
        <f>H13+H19+H31+H45</f>
        <v>78874.92300000001</v>
      </c>
      <c r="I11" s="10">
        <f>SUM(I13+I18+I31+I45)</f>
        <v>887.67000000000007</v>
      </c>
      <c r="J11" s="10">
        <f>SUM(J13+J18+J31+J45)</f>
        <v>0</v>
      </c>
      <c r="K11" s="12">
        <f>G11/C11</f>
        <v>0.89589221724666523</v>
      </c>
      <c r="L11" s="13"/>
      <c r="N11" s="235"/>
      <c r="O11" s="235"/>
      <c r="P11" s="235"/>
      <c r="Q11" s="235"/>
      <c r="R11" s="235"/>
      <c r="S11" s="235"/>
      <c r="T11" s="235"/>
    </row>
    <row r="12" spans="1:20" s="2" customFormat="1" ht="20.25" customHeight="1" x14ac:dyDescent="0.25">
      <c r="A12" s="15" t="s">
        <v>17</v>
      </c>
      <c r="B12" s="203" t="s">
        <v>18</v>
      </c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N12" s="234"/>
      <c r="O12" s="234"/>
      <c r="P12" s="234"/>
      <c r="Q12" s="234"/>
      <c r="R12" s="234"/>
      <c r="S12" s="234"/>
      <c r="T12" s="234"/>
    </row>
    <row r="13" spans="1:20" s="14" customFormat="1" ht="49.5" customHeight="1" x14ac:dyDescent="0.2">
      <c r="A13" s="16"/>
      <c r="B13" s="17" t="s">
        <v>19</v>
      </c>
      <c r="C13" s="18">
        <f>D13+E13</f>
        <v>115.925</v>
      </c>
      <c r="D13" s="19">
        <f>D16+D17</f>
        <v>115.925</v>
      </c>
      <c r="E13" s="19">
        <f>E16+E17</f>
        <v>0</v>
      </c>
      <c r="F13" s="19">
        <f>F16+F17</f>
        <v>0</v>
      </c>
      <c r="G13" s="18">
        <f>H13+I13+J13</f>
        <v>115.9</v>
      </c>
      <c r="H13" s="19">
        <f>H16+H17</f>
        <v>115.9</v>
      </c>
      <c r="I13" s="19">
        <f>I16+I17</f>
        <v>0</v>
      </c>
      <c r="J13" s="19">
        <f>J16+J17</f>
        <v>0</v>
      </c>
      <c r="K13" s="20">
        <f>G13/C13</f>
        <v>0.99978434332542598</v>
      </c>
      <c r="L13" s="21"/>
      <c r="N13" s="236"/>
      <c r="O13" s="235"/>
      <c r="P13" s="235"/>
      <c r="Q13" s="235"/>
      <c r="R13" s="235"/>
      <c r="S13" s="235"/>
      <c r="T13" s="235"/>
    </row>
    <row r="14" spans="1:20" s="2" customFormat="1" ht="21.75" customHeight="1" x14ac:dyDescent="0.25">
      <c r="A14" s="23"/>
      <c r="B14" s="224" t="s">
        <v>22</v>
      </c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N14" s="234"/>
      <c r="O14" s="234"/>
      <c r="P14" s="234"/>
      <c r="Q14" s="234"/>
      <c r="R14" s="234"/>
      <c r="S14" s="234"/>
      <c r="T14" s="234"/>
    </row>
    <row r="15" spans="1:20" s="2" customFormat="1" ht="20.25" customHeight="1" x14ac:dyDescent="0.25">
      <c r="A15" s="23"/>
      <c r="B15" s="212" t="s">
        <v>23</v>
      </c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" t="s">
        <v>24</v>
      </c>
      <c r="N15" s="234"/>
      <c r="O15" s="234"/>
      <c r="P15" s="234"/>
      <c r="Q15" s="234"/>
      <c r="R15" s="234"/>
      <c r="S15" s="234"/>
      <c r="T15" s="234"/>
    </row>
    <row r="16" spans="1:20" s="14" customFormat="1" ht="47.25" x14ac:dyDescent="0.2">
      <c r="A16" s="24"/>
      <c r="B16" s="17" t="s">
        <v>25</v>
      </c>
      <c r="C16" s="18">
        <f>SUM(D16:F16)</f>
        <v>115.925</v>
      </c>
      <c r="D16" s="19">
        <v>115.925</v>
      </c>
      <c r="E16" s="19">
        <v>0</v>
      </c>
      <c r="F16" s="19">
        <v>0</v>
      </c>
      <c r="G16" s="18">
        <f>H16+I16+J16</f>
        <v>115.9</v>
      </c>
      <c r="H16" s="19">
        <v>115.9</v>
      </c>
      <c r="I16" s="19">
        <v>0</v>
      </c>
      <c r="J16" s="19">
        <v>0</v>
      </c>
      <c r="K16" s="20">
        <f>G16/C16</f>
        <v>0.99978434332542598</v>
      </c>
      <c r="L16" s="25"/>
      <c r="N16" s="235"/>
      <c r="O16" s="235"/>
      <c r="P16" s="235"/>
      <c r="Q16" s="235"/>
      <c r="R16" s="235"/>
      <c r="S16" s="235"/>
      <c r="T16" s="235"/>
    </row>
    <row r="17" spans="1:20" s="14" customFormat="1" x14ac:dyDescent="0.2">
      <c r="A17" s="24"/>
      <c r="B17" s="26" t="s">
        <v>26</v>
      </c>
      <c r="C17" s="18">
        <f>SUM(D17:F17)</f>
        <v>0</v>
      </c>
      <c r="D17" s="19">
        <v>0</v>
      </c>
      <c r="E17" s="19">
        <v>0</v>
      </c>
      <c r="F17" s="19">
        <v>0</v>
      </c>
      <c r="G17" s="18">
        <f>H17+I17+J17</f>
        <v>0</v>
      </c>
      <c r="H17" s="19">
        <v>0</v>
      </c>
      <c r="I17" s="19">
        <v>0</v>
      </c>
      <c r="J17" s="19">
        <v>0</v>
      </c>
      <c r="K17" s="20"/>
      <c r="L17" s="27"/>
      <c r="N17" s="235"/>
      <c r="O17" s="235"/>
      <c r="P17" s="235"/>
      <c r="Q17" s="235"/>
      <c r="R17" s="235"/>
      <c r="S17" s="235"/>
      <c r="T17" s="235"/>
    </row>
    <row r="18" spans="1:20" s="2" customFormat="1" ht="19.5" customHeight="1" x14ac:dyDescent="0.25">
      <c r="A18" s="28" t="s">
        <v>27</v>
      </c>
      <c r="B18" s="203" t="s">
        <v>28</v>
      </c>
      <c r="C18" s="203"/>
      <c r="D18" s="203"/>
      <c r="E18" s="203"/>
      <c r="F18" s="203"/>
      <c r="G18" s="203"/>
      <c r="H18" s="203"/>
      <c r="I18" s="203"/>
      <c r="J18" s="203"/>
      <c r="K18" s="203"/>
      <c r="L18" s="203"/>
      <c r="N18" s="234"/>
      <c r="O18" s="234"/>
      <c r="P18" s="234"/>
      <c r="Q18" s="234"/>
      <c r="R18" s="234"/>
      <c r="S18" s="234"/>
      <c r="T18" s="234"/>
    </row>
    <row r="19" spans="1:20" s="14" customFormat="1" ht="51" customHeight="1" x14ac:dyDescent="0.2">
      <c r="A19" s="24"/>
      <c r="B19" s="17" t="s">
        <v>29</v>
      </c>
      <c r="C19" s="18">
        <f>D19+E19+F19</f>
        <v>8875.6779999999999</v>
      </c>
      <c r="D19" s="19">
        <f>SUM(D22+D24+D26+D28+D29)</f>
        <v>8875.6779999999999</v>
      </c>
      <c r="E19" s="19">
        <f>SUM(E22+E26+E28)</f>
        <v>0</v>
      </c>
      <c r="F19" s="19">
        <f>SUM(F22+F26+F28)</f>
        <v>0</v>
      </c>
      <c r="G19" s="18">
        <f>G22+G24+G26+G28+G29</f>
        <v>2086.2960000000003</v>
      </c>
      <c r="H19" s="19">
        <f>H22+H24+H26+H28+H29</f>
        <v>2086.2960000000003</v>
      </c>
      <c r="I19" s="19">
        <f>SUM(I22+I26+I28)</f>
        <v>0</v>
      </c>
      <c r="J19" s="19">
        <f>SUM(J22+J26+J28)</f>
        <v>0</v>
      </c>
      <c r="K19" s="20">
        <f>G19/C19</f>
        <v>0.2350576485537218</v>
      </c>
      <c r="L19" s="29"/>
      <c r="N19" s="235"/>
      <c r="O19" s="235"/>
      <c r="P19" s="235"/>
      <c r="Q19" s="235"/>
      <c r="R19" s="235"/>
      <c r="S19" s="235"/>
      <c r="T19" s="235"/>
    </row>
    <row r="20" spans="1:20" s="2" customFormat="1" ht="19.5" customHeight="1" x14ac:dyDescent="0.25">
      <c r="A20" s="23"/>
      <c r="B20" s="212" t="s">
        <v>30</v>
      </c>
      <c r="C20" s="212"/>
      <c r="D20" s="212"/>
      <c r="E20" s="212"/>
      <c r="F20" s="212"/>
      <c r="G20" s="212"/>
      <c r="H20" s="212"/>
      <c r="I20" s="212"/>
      <c r="J20" s="212"/>
      <c r="K20" s="212"/>
      <c r="L20" s="212"/>
      <c r="N20" s="234"/>
      <c r="O20" s="234"/>
      <c r="P20" s="234"/>
      <c r="Q20" s="234"/>
      <c r="R20" s="234"/>
      <c r="S20" s="234"/>
      <c r="T20" s="234"/>
    </row>
    <row r="21" spans="1:20" s="2" customFormat="1" ht="21" customHeight="1" x14ac:dyDescent="0.25">
      <c r="A21" s="23"/>
      <c r="B21" s="212" t="s">
        <v>31</v>
      </c>
      <c r="C21" s="212"/>
      <c r="D21" s="212"/>
      <c r="E21" s="212"/>
      <c r="F21" s="212"/>
      <c r="G21" s="212"/>
      <c r="H21" s="212"/>
      <c r="I21" s="212"/>
      <c r="J21" s="212"/>
      <c r="K21" s="212"/>
      <c r="L21" s="212"/>
      <c r="N21" s="234"/>
      <c r="O21" s="234"/>
      <c r="P21" s="234"/>
      <c r="Q21" s="234"/>
      <c r="R21" s="234"/>
      <c r="S21" s="234"/>
      <c r="T21" s="234"/>
    </row>
    <row r="22" spans="1:20" s="14" customFormat="1" ht="97.5" customHeight="1" x14ac:dyDescent="0.2">
      <c r="A22" s="24"/>
      <c r="B22" s="17" t="s">
        <v>32</v>
      </c>
      <c r="C22" s="30">
        <f>D22+E22+F22</f>
        <v>30</v>
      </c>
      <c r="D22" s="31">
        <v>30</v>
      </c>
      <c r="E22" s="31">
        <v>0</v>
      </c>
      <c r="F22" s="31">
        <v>0</v>
      </c>
      <c r="G22" s="30">
        <f>SUM(H22:J22)</f>
        <v>28.9</v>
      </c>
      <c r="H22" s="31">
        <v>28.9</v>
      </c>
      <c r="I22" s="31">
        <v>0</v>
      </c>
      <c r="J22" s="31">
        <v>0</v>
      </c>
      <c r="K22" s="32">
        <f>G22/C22</f>
        <v>0.96333333333333326</v>
      </c>
      <c r="L22" s="33"/>
      <c r="N22" s="235"/>
      <c r="O22" s="235"/>
      <c r="P22" s="235"/>
      <c r="Q22" s="237"/>
      <c r="R22" s="237"/>
      <c r="S22" s="237"/>
      <c r="T22" s="238"/>
    </row>
    <row r="23" spans="1:20" s="2" customFormat="1" ht="22.5" customHeight="1" x14ac:dyDescent="0.2">
      <c r="A23" s="34"/>
      <c r="B23" s="210" t="s">
        <v>35</v>
      </c>
      <c r="C23" s="210"/>
      <c r="D23" s="210"/>
      <c r="E23" s="210"/>
      <c r="F23" s="210"/>
      <c r="G23" s="210"/>
      <c r="H23" s="210"/>
      <c r="I23" s="210"/>
      <c r="J23" s="210"/>
      <c r="K23" s="210"/>
      <c r="L23" s="210"/>
      <c r="N23" s="234"/>
      <c r="O23" s="234"/>
      <c r="P23" s="234"/>
      <c r="Q23" s="234"/>
      <c r="R23" s="234"/>
      <c r="S23" s="234"/>
      <c r="T23" s="238"/>
    </row>
    <row r="24" spans="1:20" s="14" customFormat="1" ht="93.75" customHeight="1" x14ac:dyDescent="0.2">
      <c r="A24" s="35"/>
      <c r="B24" s="36" t="s">
        <v>36</v>
      </c>
      <c r="C24" s="37">
        <f>D24+E24+F24</f>
        <v>709.30000000000007</v>
      </c>
      <c r="D24" s="38">
        <f>1119.7-159.9-281+30.5</f>
        <v>709.30000000000007</v>
      </c>
      <c r="E24" s="39">
        <v>0</v>
      </c>
      <c r="F24" s="39">
        <v>0</v>
      </c>
      <c r="G24" s="37">
        <f>H24+I24+J24</f>
        <v>303.92700000000002</v>
      </c>
      <c r="H24" s="39">
        <f>4+20+70.927+51+5+40+90+23</f>
        <v>303.92700000000002</v>
      </c>
      <c r="I24" s="39">
        <v>0</v>
      </c>
      <c r="J24" s="39">
        <v>0</v>
      </c>
      <c r="K24" s="32">
        <f>G24/C24</f>
        <v>0.42848865078246157</v>
      </c>
      <c r="L24" s="198" t="s">
        <v>397</v>
      </c>
      <c r="N24" s="235"/>
      <c r="O24" s="235"/>
      <c r="P24" s="235"/>
      <c r="Q24" s="237"/>
      <c r="R24" s="237"/>
      <c r="S24" s="237"/>
      <c r="T24" s="238"/>
    </row>
    <row r="25" spans="1:20" s="2" customFormat="1" ht="22.5" customHeight="1" x14ac:dyDescent="0.2">
      <c r="A25" s="34"/>
      <c r="B25" s="210" t="s">
        <v>37</v>
      </c>
      <c r="C25" s="210"/>
      <c r="D25" s="210"/>
      <c r="E25" s="210"/>
      <c r="F25" s="210"/>
      <c r="G25" s="210"/>
      <c r="H25" s="210"/>
      <c r="I25" s="210"/>
      <c r="J25" s="210"/>
      <c r="K25" s="210"/>
      <c r="L25" s="210"/>
      <c r="N25" s="234"/>
      <c r="O25" s="234"/>
      <c r="P25" s="234"/>
      <c r="Q25" s="234"/>
      <c r="R25" s="234"/>
      <c r="S25" s="234"/>
      <c r="T25" s="238"/>
    </row>
    <row r="26" spans="1:20" s="14" customFormat="1" ht="72" customHeight="1" x14ac:dyDescent="0.2">
      <c r="A26" s="24"/>
      <c r="B26" s="17" t="s">
        <v>38</v>
      </c>
      <c r="C26" s="18">
        <f>SUM(D26:F26)</f>
        <v>869.5</v>
      </c>
      <c r="D26" s="19">
        <v>869.5</v>
      </c>
      <c r="E26" s="19">
        <v>0</v>
      </c>
      <c r="F26" s="19">
        <v>0</v>
      </c>
      <c r="G26" s="18">
        <f>SUM(H26:J26)</f>
        <v>869.49199999999996</v>
      </c>
      <c r="H26" s="19">
        <v>869.49199999999996</v>
      </c>
      <c r="I26" s="19">
        <v>0</v>
      </c>
      <c r="J26" s="19">
        <v>0</v>
      </c>
      <c r="K26" s="20">
        <f>G26/C26</f>
        <v>0.99999079930994816</v>
      </c>
      <c r="L26" s="33"/>
      <c r="N26" s="235"/>
      <c r="O26" s="235"/>
      <c r="P26" s="235"/>
      <c r="Q26" s="239"/>
      <c r="R26" s="239"/>
      <c r="S26" s="239"/>
      <c r="T26" s="238"/>
    </row>
    <row r="27" spans="1:20" s="2" customFormat="1" ht="51.75" customHeight="1" x14ac:dyDescent="0.25">
      <c r="A27" s="23"/>
      <c r="B27" s="212" t="s">
        <v>40</v>
      </c>
      <c r="C27" s="212"/>
      <c r="D27" s="212"/>
      <c r="E27" s="212"/>
      <c r="F27" s="212"/>
      <c r="G27" s="212"/>
      <c r="H27" s="212"/>
      <c r="I27" s="212"/>
      <c r="J27" s="212"/>
      <c r="K27" s="212"/>
      <c r="L27" s="212"/>
      <c r="N27" s="234"/>
      <c r="O27" s="234"/>
      <c r="P27" s="234"/>
      <c r="Q27" s="234"/>
      <c r="R27" s="234"/>
      <c r="S27" s="234"/>
      <c r="T27" s="234"/>
    </row>
    <row r="28" spans="1:20" s="14" customFormat="1" ht="67.5" customHeight="1" x14ac:dyDescent="0.2">
      <c r="A28" s="24"/>
      <c r="B28" s="17" t="s">
        <v>41</v>
      </c>
      <c r="C28" s="30">
        <f>SUM(D28:F28)</f>
        <v>2580</v>
      </c>
      <c r="D28" s="31">
        <v>2580</v>
      </c>
      <c r="E28" s="31">
        <v>0</v>
      </c>
      <c r="F28" s="31">
        <v>0</v>
      </c>
      <c r="G28" s="30">
        <f>SUM(H28:J28)</f>
        <v>0</v>
      </c>
      <c r="H28" s="31">
        <v>0</v>
      </c>
      <c r="I28" s="31">
        <v>0</v>
      </c>
      <c r="J28" s="31">
        <v>0</v>
      </c>
      <c r="K28" s="32">
        <f>G28/C28</f>
        <v>0</v>
      </c>
      <c r="L28" s="33"/>
      <c r="N28" s="235"/>
      <c r="O28" s="235"/>
      <c r="P28" s="235"/>
      <c r="Q28" s="237"/>
      <c r="R28" s="237"/>
      <c r="S28" s="237"/>
      <c r="T28" s="235"/>
    </row>
    <row r="29" spans="1:20" s="14" customFormat="1" ht="51.75" customHeight="1" x14ac:dyDescent="0.25">
      <c r="A29" s="24"/>
      <c r="B29" s="17" t="s">
        <v>43</v>
      </c>
      <c r="C29" s="30">
        <f>SUM(D29:F29)</f>
        <v>4686.8779999999997</v>
      </c>
      <c r="D29" s="38">
        <f>440.9+4245.978</f>
        <v>4686.8779999999997</v>
      </c>
      <c r="E29" s="31">
        <v>0</v>
      </c>
      <c r="F29" s="31">
        <v>0</v>
      </c>
      <c r="G29" s="30">
        <f>SUM(H29:J29)</f>
        <v>883.97700000000009</v>
      </c>
      <c r="H29" s="31">
        <f>15+144.853+82.988+7.906+403.23+230</f>
        <v>883.97700000000009</v>
      </c>
      <c r="I29" s="31">
        <v>0</v>
      </c>
      <c r="J29" s="31">
        <v>0</v>
      </c>
      <c r="K29" s="32">
        <f>G29/C29</f>
        <v>0.1886067868632382</v>
      </c>
      <c r="L29" s="199" t="s">
        <v>398</v>
      </c>
      <c r="N29" s="235"/>
      <c r="O29" s="235"/>
      <c r="P29" s="235"/>
      <c r="Q29" s="235"/>
      <c r="R29" s="240"/>
      <c r="S29" s="235"/>
      <c r="T29" s="235"/>
    </row>
    <row r="30" spans="1:20" s="2" customFormat="1" ht="23.25" customHeight="1" x14ac:dyDescent="0.25">
      <c r="A30" s="28" t="s">
        <v>44</v>
      </c>
      <c r="B30" s="203" t="s">
        <v>45</v>
      </c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N30" s="234"/>
      <c r="O30" s="234"/>
      <c r="P30" s="234"/>
      <c r="Q30" s="234"/>
      <c r="R30" s="234"/>
      <c r="S30" s="234"/>
      <c r="T30" s="234"/>
    </row>
    <row r="31" spans="1:20" s="14" customFormat="1" ht="31.9" customHeight="1" x14ac:dyDescent="0.2">
      <c r="A31" s="24"/>
      <c r="B31" s="17" t="s">
        <v>46</v>
      </c>
      <c r="C31" s="18">
        <f>C34+C38+C39+C41+C42+C43+C35</f>
        <v>52235.247000000003</v>
      </c>
      <c r="D31" s="19">
        <f>D34+D35+D38+D39+D41+D42+D43</f>
        <v>51427.11</v>
      </c>
      <c r="E31" s="19">
        <f>SUM(E34:E43)</f>
        <v>808.13700000000006</v>
      </c>
      <c r="F31" s="19">
        <f>SUM(F34:F35)</f>
        <v>0</v>
      </c>
      <c r="G31" s="18">
        <f>G34+G35+G38+G39+G41+G42+G43</f>
        <v>51148.850000000006</v>
      </c>
      <c r="H31" s="19">
        <f>H34+H35+H38+H39+H41+H42+H43</f>
        <v>50406.995000000003</v>
      </c>
      <c r="I31" s="19">
        <f>I34+I35+I38+I39+I41+I42+I43</f>
        <v>741.85500000000002</v>
      </c>
      <c r="J31" s="19">
        <f>SUM(J34:J35)</f>
        <v>0</v>
      </c>
      <c r="K31" s="20">
        <f>G31/C31</f>
        <v>0.97920184047373227</v>
      </c>
      <c r="L31" s="33"/>
      <c r="N31" s="235"/>
      <c r="O31" s="235"/>
      <c r="P31" s="235"/>
      <c r="Q31" s="235"/>
      <c r="R31" s="235"/>
      <c r="S31" s="235"/>
      <c r="T31" s="235"/>
    </row>
    <row r="32" spans="1:20" s="2" customFormat="1" ht="22.5" customHeight="1" x14ac:dyDescent="0.25">
      <c r="A32" s="23"/>
      <c r="B32" s="212" t="s">
        <v>47</v>
      </c>
      <c r="C32" s="212"/>
      <c r="D32" s="212"/>
      <c r="E32" s="212"/>
      <c r="F32" s="212"/>
      <c r="G32" s="212"/>
      <c r="H32" s="212"/>
      <c r="I32" s="212"/>
      <c r="J32" s="212"/>
      <c r="K32" s="212"/>
      <c r="L32" s="212"/>
      <c r="N32" s="234"/>
      <c r="O32" s="234"/>
      <c r="P32" s="234"/>
      <c r="Q32" s="234"/>
      <c r="R32" s="234"/>
      <c r="S32" s="234"/>
      <c r="T32" s="234"/>
    </row>
    <row r="33" spans="1:20" s="2" customFormat="1" ht="30" customHeight="1" x14ac:dyDescent="0.25">
      <c r="A33" s="23"/>
      <c r="B33" s="212" t="s">
        <v>48</v>
      </c>
      <c r="C33" s="212"/>
      <c r="D33" s="212"/>
      <c r="E33" s="212"/>
      <c r="F33" s="212"/>
      <c r="G33" s="212"/>
      <c r="H33" s="212"/>
      <c r="I33" s="212"/>
      <c r="J33" s="212"/>
      <c r="K33" s="212"/>
      <c r="L33" s="212"/>
      <c r="N33" s="234"/>
      <c r="O33" s="234"/>
      <c r="P33" s="234"/>
      <c r="Q33" s="234"/>
      <c r="R33" s="234"/>
      <c r="S33" s="234"/>
      <c r="T33" s="234"/>
    </row>
    <row r="34" spans="1:20" s="14" customFormat="1" ht="74.25" customHeight="1" x14ac:dyDescent="0.2">
      <c r="A34" s="24"/>
      <c r="B34" s="17" t="s">
        <v>49</v>
      </c>
      <c r="C34" s="18">
        <f>D34+E34+F34</f>
        <v>1667.739</v>
      </c>
      <c r="D34" s="19">
        <f>302.4+84.6+52+1228.739</f>
        <v>1667.739</v>
      </c>
      <c r="E34" s="19">
        <v>0</v>
      </c>
      <c r="F34" s="19">
        <v>0</v>
      </c>
      <c r="G34" s="18">
        <f>SUM(H34:J34)</f>
        <v>1548.5520000000001</v>
      </c>
      <c r="H34" s="19">
        <f>183.353+84.508+51.953+1228.738</f>
        <v>1548.5520000000001</v>
      </c>
      <c r="I34" s="19">
        <v>0</v>
      </c>
      <c r="J34" s="19">
        <v>0</v>
      </c>
      <c r="K34" s="20">
        <f>G34/C34</f>
        <v>0.92853378136506981</v>
      </c>
      <c r="L34" s="198" t="s">
        <v>350</v>
      </c>
      <c r="N34" s="241"/>
      <c r="O34" s="235"/>
      <c r="P34" s="235"/>
      <c r="Q34" s="239"/>
      <c r="R34" s="239"/>
      <c r="S34" s="239"/>
      <c r="T34" s="235"/>
    </row>
    <row r="35" spans="1:20" s="14" customFormat="1" ht="84" customHeight="1" x14ac:dyDescent="0.2">
      <c r="A35" s="24"/>
      <c r="B35" s="17" t="s">
        <v>51</v>
      </c>
      <c r="C35" s="18">
        <f>D35+E35+F35</f>
        <v>242</v>
      </c>
      <c r="D35" s="19">
        <v>242</v>
      </c>
      <c r="E35" s="19">
        <v>0</v>
      </c>
      <c r="F35" s="19">
        <v>0</v>
      </c>
      <c r="G35" s="18">
        <f>SUM(H35:J35)</f>
        <v>241.73</v>
      </c>
      <c r="H35" s="19">
        <v>241.73</v>
      </c>
      <c r="I35" s="19">
        <v>0</v>
      </c>
      <c r="J35" s="19">
        <v>0</v>
      </c>
      <c r="K35" s="20">
        <f>G35/C35</f>
        <v>0.9988842975206611</v>
      </c>
      <c r="L35" s="25"/>
      <c r="M35" s="42"/>
      <c r="N35" s="242"/>
      <c r="O35" s="235"/>
      <c r="P35" s="235"/>
      <c r="Q35" s="235"/>
      <c r="R35" s="235"/>
      <c r="S35" s="235"/>
      <c r="T35" s="235"/>
    </row>
    <row r="36" spans="1:20" s="2" customFormat="1" ht="22.5" customHeight="1" x14ac:dyDescent="0.25">
      <c r="A36" s="23"/>
      <c r="B36" s="212" t="s">
        <v>52</v>
      </c>
      <c r="C36" s="212"/>
      <c r="D36" s="212"/>
      <c r="E36" s="212"/>
      <c r="F36" s="212"/>
      <c r="G36" s="212"/>
      <c r="H36" s="212"/>
      <c r="I36" s="212"/>
      <c r="J36" s="212"/>
      <c r="K36" s="212"/>
      <c r="L36" s="212"/>
      <c r="N36" s="234"/>
      <c r="O36" s="234"/>
      <c r="P36" s="234"/>
      <c r="Q36" s="234"/>
      <c r="R36" s="234"/>
      <c r="S36" s="234"/>
      <c r="T36" s="234"/>
    </row>
    <row r="37" spans="1:20" s="2" customFormat="1" ht="30" customHeight="1" x14ac:dyDescent="0.25">
      <c r="A37" s="23"/>
      <c r="B37" s="212" t="s">
        <v>53</v>
      </c>
      <c r="C37" s="212"/>
      <c r="D37" s="212"/>
      <c r="E37" s="212"/>
      <c r="F37" s="212"/>
      <c r="G37" s="212"/>
      <c r="H37" s="212"/>
      <c r="I37" s="212"/>
      <c r="J37" s="212"/>
      <c r="K37" s="212"/>
      <c r="L37" s="212"/>
      <c r="N37" s="234"/>
      <c r="O37" s="234"/>
      <c r="P37" s="234"/>
      <c r="Q37" s="234"/>
      <c r="R37" s="234"/>
      <c r="S37" s="234"/>
      <c r="T37" s="234"/>
    </row>
    <row r="38" spans="1:20" s="14" customFormat="1" ht="113.25" customHeight="1" x14ac:dyDescent="0.2">
      <c r="A38" s="24"/>
      <c r="B38" s="17" t="s">
        <v>54</v>
      </c>
      <c r="C38" s="18">
        <f>D38+F38+E38</f>
        <v>236.48</v>
      </c>
      <c r="D38" s="19">
        <f>14.58+14.9+132+75</f>
        <v>236.48</v>
      </c>
      <c r="E38" s="19">
        <v>0</v>
      </c>
      <c r="F38" s="19">
        <v>0</v>
      </c>
      <c r="G38" s="18">
        <f>SUM(H38:J38)</f>
        <v>215.98</v>
      </c>
      <c r="H38" s="19">
        <f>14.9+14.58+55.4+131.1</f>
        <v>215.98</v>
      </c>
      <c r="I38" s="19">
        <v>0</v>
      </c>
      <c r="J38" s="19">
        <v>0</v>
      </c>
      <c r="K38" s="20">
        <f>G38/C38</f>
        <v>0.91331190798376183</v>
      </c>
      <c r="L38" s="198" t="s">
        <v>396</v>
      </c>
      <c r="M38" s="42"/>
      <c r="N38" s="242"/>
      <c r="O38" s="235"/>
      <c r="P38" s="235"/>
      <c r="Q38" s="235"/>
      <c r="R38" s="235"/>
      <c r="S38" s="235"/>
      <c r="T38" s="235"/>
    </row>
    <row r="39" spans="1:20" s="14" customFormat="1" ht="84" customHeight="1" x14ac:dyDescent="0.2">
      <c r="A39" s="24"/>
      <c r="B39" s="17" t="s">
        <v>55</v>
      </c>
      <c r="C39" s="18">
        <f>D39+E39+F39</f>
        <v>0</v>
      </c>
      <c r="D39" s="19">
        <v>0</v>
      </c>
      <c r="E39" s="19">
        <v>0</v>
      </c>
      <c r="F39" s="19">
        <v>0</v>
      </c>
      <c r="G39" s="18">
        <v>0</v>
      </c>
      <c r="H39" s="19">
        <v>0</v>
      </c>
      <c r="I39" s="19">
        <v>0</v>
      </c>
      <c r="J39" s="19">
        <v>0</v>
      </c>
      <c r="K39" s="20">
        <v>0</v>
      </c>
      <c r="L39" s="25"/>
      <c r="M39" s="42"/>
      <c r="N39" s="235"/>
      <c r="O39" s="235"/>
      <c r="P39" s="235"/>
      <c r="Q39" s="235"/>
      <c r="R39" s="235"/>
      <c r="S39" s="235"/>
      <c r="T39" s="235"/>
    </row>
    <row r="40" spans="1:20" s="49" customFormat="1" ht="34.5" customHeight="1" x14ac:dyDescent="0.2">
      <c r="A40" s="45"/>
      <c r="B40" s="223" t="s">
        <v>56</v>
      </c>
      <c r="C40" s="223"/>
      <c r="D40" s="223"/>
      <c r="E40" s="223"/>
      <c r="F40" s="223"/>
      <c r="G40" s="223"/>
      <c r="H40" s="223"/>
      <c r="I40" s="223"/>
      <c r="J40" s="223"/>
      <c r="K40" s="223"/>
      <c r="L40" s="223"/>
      <c r="M40" s="46"/>
      <c r="N40" s="243"/>
      <c r="O40" s="244"/>
      <c r="P40" s="245"/>
      <c r="Q40" s="246"/>
      <c r="R40" s="246"/>
      <c r="S40" s="246"/>
      <c r="T40" s="246"/>
    </row>
    <row r="41" spans="1:20" s="14" customFormat="1" ht="84" customHeight="1" x14ac:dyDescent="0.2">
      <c r="A41" s="24"/>
      <c r="B41" s="17" t="s">
        <v>57</v>
      </c>
      <c r="C41" s="18">
        <f>D41+E41+F41</f>
        <v>78.5</v>
      </c>
      <c r="D41" s="19">
        <f>78.5</f>
        <v>78.5</v>
      </c>
      <c r="E41" s="19">
        <v>0</v>
      </c>
      <c r="F41" s="19">
        <v>0</v>
      </c>
      <c r="G41" s="18">
        <f>H41+I41+J41</f>
        <v>78.5</v>
      </c>
      <c r="H41" s="19">
        <f>64.6+13.9</f>
        <v>78.5</v>
      </c>
      <c r="I41" s="19">
        <v>0</v>
      </c>
      <c r="J41" s="19">
        <v>0</v>
      </c>
      <c r="K41" s="20">
        <f>G41/C41</f>
        <v>1</v>
      </c>
      <c r="L41" s="25"/>
      <c r="M41" s="42"/>
      <c r="N41" s="242"/>
      <c r="O41" s="235"/>
      <c r="P41" s="235"/>
      <c r="Q41" s="235"/>
      <c r="R41" s="235"/>
      <c r="S41" s="235"/>
      <c r="T41" s="235"/>
    </row>
    <row r="42" spans="1:20" s="14" customFormat="1" ht="114" customHeight="1" x14ac:dyDescent="0.2">
      <c r="A42" s="24"/>
      <c r="B42" s="17" t="s">
        <v>60</v>
      </c>
      <c r="C42" s="18">
        <f>D42+E42+F42</f>
        <v>47883.928000000007</v>
      </c>
      <c r="D42" s="19">
        <f>45407.62+286.561+1339.11+23.9+18.6</f>
        <v>47075.791000000005</v>
      </c>
      <c r="E42" s="19">
        <f>249.192+558.945</f>
        <v>808.13700000000006</v>
      </c>
      <c r="F42" s="19">
        <v>0</v>
      </c>
      <c r="G42" s="18">
        <f>H42+I42+J42</f>
        <v>46993.333000000006</v>
      </c>
      <c r="H42" s="19">
        <f>46487.578-236.1</f>
        <v>46251.478000000003</v>
      </c>
      <c r="I42" s="19">
        <v>741.85500000000002</v>
      </c>
      <c r="J42" s="19">
        <v>0</v>
      </c>
      <c r="K42" s="20">
        <f>G42/C42</f>
        <v>0.9814009619260976</v>
      </c>
      <c r="L42" s="25"/>
      <c r="M42" s="42"/>
      <c r="N42" s="242"/>
      <c r="O42" s="235"/>
      <c r="P42" s="235"/>
      <c r="Q42" s="235"/>
      <c r="R42" s="235"/>
      <c r="S42" s="235"/>
      <c r="T42" s="235"/>
    </row>
    <row r="43" spans="1:20" s="14" customFormat="1" ht="84" customHeight="1" x14ac:dyDescent="0.2">
      <c r="A43" s="24"/>
      <c r="B43" s="17" t="s">
        <v>61</v>
      </c>
      <c r="C43" s="18">
        <f>D43+E43+F43</f>
        <v>2126.6</v>
      </c>
      <c r="D43" s="19">
        <f>2126.6</f>
        <v>2126.6</v>
      </c>
      <c r="E43" s="19">
        <v>0</v>
      </c>
      <c r="F43" s="19">
        <v>0</v>
      </c>
      <c r="G43" s="18">
        <f>H43+I43+J43</f>
        <v>2070.7550000000001</v>
      </c>
      <c r="H43" s="19">
        <f>188.467+172.772+1709.516</f>
        <v>2070.7550000000001</v>
      </c>
      <c r="I43" s="19">
        <v>0</v>
      </c>
      <c r="J43" s="19">
        <v>0</v>
      </c>
      <c r="K43" s="20">
        <f>G43/C43</f>
        <v>0.97373977240665865</v>
      </c>
      <c r="L43" s="25"/>
      <c r="M43" s="42"/>
      <c r="N43" s="242"/>
      <c r="O43" s="235"/>
      <c r="P43" s="239"/>
      <c r="Q43" s="239"/>
      <c r="R43" s="239"/>
      <c r="S43" s="235"/>
      <c r="T43" s="235"/>
    </row>
    <row r="44" spans="1:20" s="2" customFormat="1" ht="35.65" customHeight="1" x14ac:dyDescent="0.25">
      <c r="A44" s="28" t="s">
        <v>64</v>
      </c>
      <c r="B44" s="203" t="s">
        <v>65</v>
      </c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N44" s="234"/>
      <c r="O44" s="234"/>
      <c r="P44" s="234"/>
      <c r="Q44" s="234"/>
      <c r="R44" s="234"/>
      <c r="S44" s="234"/>
      <c r="T44" s="234"/>
    </row>
    <row r="45" spans="1:20" s="14" customFormat="1" ht="96.75" customHeight="1" x14ac:dyDescent="0.2">
      <c r="A45" s="35"/>
      <c r="B45" s="17" t="s">
        <v>66</v>
      </c>
      <c r="C45" s="18">
        <f>C48</f>
        <v>27804.611000000001</v>
      </c>
      <c r="D45" s="19">
        <f>D48</f>
        <v>27591.811000000002</v>
      </c>
      <c r="E45" s="19">
        <f>E48</f>
        <v>212.8</v>
      </c>
      <c r="F45" s="19">
        <f>F48</f>
        <v>0</v>
      </c>
      <c r="G45" s="18">
        <f>H45+I45+J45</f>
        <v>26411.546999999999</v>
      </c>
      <c r="H45" s="19">
        <f>H48</f>
        <v>26265.732</v>
      </c>
      <c r="I45" s="19">
        <f>I48</f>
        <v>145.815</v>
      </c>
      <c r="J45" s="19">
        <f>J48</f>
        <v>0</v>
      </c>
      <c r="K45" s="20">
        <f>G45/C45</f>
        <v>0.94989809424055593</v>
      </c>
      <c r="L45" s="50"/>
      <c r="N45" s="235"/>
      <c r="O45" s="235"/>
      <c r="P45" s="235"/>
      <c r="Q45" s="235"/>
      <c r="R45" s="235"/>
      <c r="S45" s="235"/>
      <c r="T45" s="235"/>
    </row>
    <row r="46" spans="1:20" s="2" customFormat="1" ht="17.25" customHeight="1" x14ac:dyDescent="0.25">
      <c r="A46" s="23"/>
      <c r="B46" s="212" t="s">
        <v>67</v>
      </c>
      <c r="C46" s="212"/>
      <c r="D46" s="212"/>
      <c r="E46" s="212"/>
      <c r="F46" s="212"/>
      <c r="G46" s="212"/>
      <c r="H46" s="212"/>
      <c r="I46" s="212"/>
      <c r="J46" s="212"/>
      <c r="K46" s="212"/>
      <c r="L46" s="212"/>
      <c r="N46" s="234"/>
      <c r="O46" s="234"/>
      <c r="P46" s="234"/>
      <c r="Q46" s="234"/>
      <c r="R46" s="234"/>
      <c r="S46" s="234"/>
      <c r="T46" s="234"/>
    </row>
    <row r="47" spans="1:20" s="2" customFormat="1" ht="19.5" customHeight="1" x14ac:dyDescent="0.25">
      <c r="A47" s="23"/>
      <c r="B47" s="212" t="s">
        <v>68</v>
      </c>
      <c r="C47" s="212"/>
      <c r="D47" s="212"/>
      <c r="E47" s="212"/>
      <c r="F47" s="212"/>
      <c r="G47" s="212"/>
      <c r="H47" s="212"/>
      <c r="I47" s="212"/>
      <c r="J47" s="212"/>
      <c r="K47" s="212"/>
      <c r="L47" s="212"/>
      <c r="N47" s="234"/>
      <c r="O47" s="234"/>
      <c r="P47" s="234"/>
      <c r="Q47" s="234"/>
      <c r="R47" s="234"/>
      <c r="S47" s="234"/>
      <c r="T47" s="234"/>
    </row>
    <row r="48" spans="1:20" s="14" customFormat="1" ht="100.5" customHeight="1" x14ac:dyDescent="0.2">
      <c r="A48" s="35"/>
      <c r="B48" s="51" t="s">
        <v>69</v>
      </c>
      <c r="C48" s="18">
        <f>SUM(D48:F48)</f>
        <v>27804.611000000001</v>
      </c>
      <c r="D48" s="19">
        <f>22859.681+4732.13</f>
        <v>27591.811000000002</v>
      </c>
      <c r="E48" s="19">
        <f>158.5+54.3</f>
        <v>212.8</v>
      </c>
      <c r="F48" s="19">
        <v>0</v>
      </c>
      <c r="G48" s="18">
        <f>H48+I48+J48</f>
        <v>26411.546999999999</v>
      </c>
      <c r="H48" s="19">
        <f>4678.122+21587.61</f>
        <v>26265.732</v>
      </c>
      <c r="I48" s="19">
        <v>145.815</v>
      </c>
      <c r="J48" s="19">
        <v>0</v>
      </c>
      <c r="K48" s="20">
        <f>G48/C48</f>
        <v>0.94989809424055593</v>
      </c>
      <c r="L48" s="25"/>
      <c r="N48" s="242"/>
      <c r="O48" s="235"/>
      <c r="P48" s="235"/>
      <c r="Q48" s="235"/>
      <c r="R48" s="235"/>
      <c r="S48" s="235"/>
      <c r="T48" s="235"/>
    </row>
    <row r="49" spans="1:20" s="2" customFormat="1" ht="80.25" customHeight="1" x14ac:dyDescent="0.25">
      <c r="A49" s="52" t="s">
        <v>71</v>
      </c>
      <c r="B49" s="53" t="s">
        <v>72</v>
      </c>
      <c r="C49" s="10">
        <f>SUM(C51+C56+C65+C72+C79+C86)</f>
        <v>9699.3399999999965</v>
      </c>
      <c r="D49" s="10">
        <f>SUM(D51+D56+D65+D72+D79+D86)</f>
        <v>9623.0399999999972</v>
      </c>
      <c r="E49" s="10">
        <f>SUM(E51+E56+E65+E72+E79+E86)</f>
        <v>76.3</v>
      </c>
      <c r="F49" s="10">
        <f>SUM(F51+F56+F65+F72+F79+F86)</f>
        <v>0</v>
      </c>
      <c r="G49" s="10">
        <f>H49+I49+J49</f>
        <v>7514.5069999999996</v>
      </c>
      <c r="H49" s="10">
        <f>H51+H56+H65+H72+H79+H86</f>
        <v>7452.817</v>
      </c>
      <c r="I49" s="10">
        <f>SUM(I51+I56+I65+I72+I79+I86)</f>
        <v>61.69</v>
      </c>
      <c r="J49" s="10">
        <f>SUM(J51+J56+J65+J72+J79+J86)</f>
        <v>0</v>
      </c>
      <c r="K49" s="12">
        <f>G49/C49</f>
        <v>0.77474415784991579</v>
      </c>
      <c r="L49" s="54"/>
      <c r="N49" s="234"/>
      <c r="O49" s="234"/>
      <c r="P49" s="234"/>
      <c r="Q49" s="234"/>
      <c r="R49" s="234"/>
      <c r="S49" s="234"/>
      <c r="T49" s="234"/>
    </row>
    <row r="50" spans="1:20" s="2" customFormat="1" ht="21.2" customHeight="1" x14ac:dyDescent="0.25">
      <c r="A50" s="28" t="s">
        <v>73</v>
      </c>
      <c r="B50" s="203" t="s">
        <v>74</v>
      </c>
      <c r="C50" s="203"/>
      <c r="D50" s="203"/>
      <c r="E50" s="203"/>
      <c r="F50" s="203"/>
      <c r="G50" s="203"/>
      <c r="H50" s="203"/>
      <c r="I50" s="203"/>
      <c r="J50" s="203"/>
      <c r="K50" s="203"/>
      <c r="L50" s="203"/>
      <c r="N50" s="234"/>
      <c r="O50" s="234"/>
      <c r="P50" s="234"/>
      <c r="Q50" s="234"/>
      <c r="R50" s="234"/>
      <c r="S50" s="234"/>
      <c r="T50" s="234"/>
    </row>
    <row r="51" spans="1:20" s="14" customFormat="1" ht="83.25" customHeight="1" x14ac:dyDescent="0.2">
      <c r="A51" s="55"/>
      <c r="B51" s="17" t="s">
        <v>75</v>
      </c>
      <c r="C51" s="56">
        <f>SUM(C54)</f>
        <v>80.459999999999994</v>
      </c>
      <c r="D51" s="57">
        <f>SUM(D54)</f>
        <v>80.459999999999994</v>
      </c>
      <c r="E51" s="57">
        <f>SUM(E54)</f>
        <v>0</v>
      </c>
      <c r="F51" s="57">
        <f>SUM(F54)</f>
        <v>0</v>
      </c>
      <c r="G51" s="56">
        <f>H51+I51+J51</f>
        <v>80.459999999999994</v>
      </c>
      <c r="H51" s="57">
        <f>H54</f>
        <v>80.459999999999994</v>
      </c>
      <c r="I51" s="57">
        <f>SUM(I54)</f>
        <v>0</v>
      </c>
      <c r="J51" s="57">
        <f>SUM(J54)</f>
        <v>0</v>
      </c>
      <c r="K51" s="20">
        <f>G51/C51</f>
        <v>1</v>
      </c>
      <c r="L51" s="25"/>
      <c r="N51" s="235"/>
      <c r="O51" s="235"/>
      <c r="P51" s="235"/>
      <c r="Q51" s="235"/>
      <c r="R51" s="235"/>
      <c r="S51" s="235"/>
      <c r="T51" s="235"/>
    </row>
    <row r="52" spans="1:20" s="2" customFormat="1" ht="18" customHeight="1" x14ac:dyDescent="0.25">
      <c r="A52" s="58"/>
      <c r="B52" s="212" t="s">
        <v>76</v>
      </c>
      <c r="C52" s="212"/>
      <c r="D52" s="212"/>
      <c r="E52" s="212"/>
      <c r="F52" s="212"/>
      <c r="G52" s="212"/>
      <c r="H52" s="212"/>
      <c r="I52" s="212"/>
      <c r="J52" s="212"/>
      <c r="K52" s="212"/>
      <c r="L52" s="212"/>
      <c r="N52" s="234"/>
      <c r="O52" s="234"/>
      <c r="P52" s="234"/>
      <c r="Q52" s="234"/>
      <c r="R52" s="234"/>
      <c r="S52" s="234"/>
      <c r="T52" s="234"/>
    </row>
    <row r="53" spans="1:20" s="2" customFormat="1" ht="20.45" customHeight="1" x14ac:dyDescent="0.25">
      <c r="A53" s="58"/>
      <c r="B53" s="212" t="s">
        <v>77</v>
      </c>
      <c r="C53" s="212"/>
      <c r="D53" s="212"/>
      <c r="E53" s="212"/>
      <c r="F53" s="212"/>
      <c r="G53" s="212"/>
      <c r="H53" s="212"/>
      <c r="I53" s="212"/>
      <c r="J53" s="212"/>
      <c r="K53" s="212"/>
      <c r="L53" s="212"/>
      <c r="N53" s="234"/>
      <c r="O53" s="234"/>
      <c r="P53" s="234"/>
      <c r="Q53" s="234"/>
      <c r="R53" s="234"/>
      <c r="S53" s="234"/>
      <c r="T53" s="234"/>
    </row>
    <row r="54" spans="1:20" s="14" customFormat="1" ht="89.25" customHeight="1" x14ac:dyDescent="0.2">
      <c r="A54" s="24"/>
      <c r="B54" s="17" t="s">
        <v>78</v>
      </c>
      <c r="C54" s="30">
        <f>SUM(D54:F54)</f>
        <v>80.459999999999994</v>
      </c>
      <c r="D54" s="31">
        <v>80.459999999999994</v>
      </c>
      <c r="E54" s="31">
        <v>0</v>
      </c>
      <c r="F54" s="31">
        <v>0</v>
      </c>
      <c r="G54" s="30">
        <f>H54+I54+J54</f>
        <v>80.459999999999994</v>
      </c>
      <c r="H54" s="31">
        <f>80.46</f>
        <v>80.459999999999994</v>
      </c>
      <c r="I54" s="31">
        <v>0</v>
      </c>
      <c r="J54" s="31">
        <v>0</v>
      </c>
      <c r="K54" s="20">
        <f>G54/C54</f>
        <v>1</v>
      </c>
      <c r="L54" s="25"/>
      <c r="N54" s="236"/>
      <c r="O54" s="235"/>
      <c r="P54" s="235"/>
      <c r="Q54" s="235"/>
      <c r="R54" s="235"/>
      <c r="S54" s="235"/>
      <c r="T54" s="235"/>
    </row>
    <row r="55" spans="1:20" s="2" customFormat="1" ht="20.45" customHeight="1" x14ac:dyDescent="0.25">
      <c r="A55" s="28" t="s">
        <v>79</v>
      </c>
      <c r="B55" s="203" t="s">
        <v>80</v>
      </c>
      <c r="C55" s="203"/>
      <c r="D55" s="203"/>
      <c r="E55" s="203"/>
      <c r="F55" s="203"/>
      <c r="G55" s="203"/>
      <c r="H55" s="203"/>
      <c r="I55" s="203"/>
      <c r="J55" s="203"/>
      <c r="K55" s="203"/>
      <c r="L55" s="203"/>
      <c r="N55" s="234"/>
      <c r="O55" s="234"/>
      <c r="P55" s="234"/>
      <c r="Q55" s="234"/>
      <c r="R55" s="234"/>
      <c r="S55" s="234"/>
      <c r="T55" s="234"/>
    </row>
    <row r="56" spans="1:20" s="14" customFormat="1" ht="64.5" customHeight="1" x14ac:dyDescent="0.2">
      <c r="A56" s="24"/>
      <c r="B56" s="17" t="s">
        <v>81</v>
      </c>
      <c r="C56" s="18">
        <f>D56+E56+F56</f>
        <v>9523.5799999999981</v>
      </c>
      <c r="D56" s="19">
        <f>SUM(D59+D61+D63)</f>
        <v>9447.2799999999988</v>
      </c>
      <c r="E56" s="19">
        <f>SUM(E59+E61+E63)</f>
        <v>76.3</v>
      </c>
      <c r="F56" s="19">
        <f>SUM(F59+F61+F63)</f>
        <v>0</v>
      </c>
      <c r="G56" s="18">
        <f>H56+I56+J56</f>
        <v>7388.7479999999996</v>
      </c>
      <c r="H56" s="19">
        <f>SUM(H59+H61+H63)</f>
        <v>7327.058</v>
      </c>
      <c r="I56" s="19">
        <f>SUM(I59+I61+I63)</f>
        <v>61.69</v>
      </c>
      <c r="J56" s="19">
        <f>SUM(J59+J61+J63)</f>
        <v>0</v>
      </c>
      <c r="K56" s="20">
        <f>G56/C56</f>
        <v>0.77583723767742818</v>
      </c>
      <c r="L56" s="25"/>
      <c r="N56" s="235"/>
      <c r="O56" s="235"/>
      <c r="P56" s="235"/>
      <c r="Q56" s="235"/>
      <c r="R56" s="235"/>
      <c r="S56" s="235"/>
      <c r="T56" s="235"/>
    </row>
    <row r="57" spans="1:20" s="2" customFormat="1" ht="15.75" customHeight="1" x14ac:dyDescent="0.2">
      <c r="A57" s="34"/>
      <c r="B57" s="210" t="s">
        <v>82</v>
      </c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N57" s="234"/>
      <c r="O57" s="234"/>
      <c r="P57" s="234"/>
      <c r="Q57" s="234"/>
      <c r="R57" s="234"/>
      <c r="S57" s="234"/>
      <c r="T57" s="234"/>
    </row>
    <row r="58" spans="1:20" s="2" customFormat="1" ht="32.25" customHeight="1" x14ac:dyDescent="0.25">
      <c r="A58" s="23"/>
      <c r="B58" s="212" t="s">
        <v>83</v>
      </c>
      <c r="C58" s="212"/>
      <c r="D58" s="212"/>
      <c r="E58" s="212"/>
      <c r="F58" s="212"/>
      <c r="G58" s="212"/>
      <c r="H58" s="212"/>
      <c r="I58" s="212"/>
      <c r="J58" s="212"/>
      <c r="K58" s="212"/>
      <c r="L58" s="212"/>
      <c r="N58" s="234"/>
      <c r="O58" s="234"/>
      <c r="P58" s="234"/>
      <c r="Q58" s="234"/>
      <c r="R58" s="234"/>
      <c r="S58" s="234"/>
      <c r="T58" s="234"/>
    </row>
    <row r="59" spans="1:20" s="2" customFormat="1" ht="83.25" customHeight="1" x14ac:dyDescent="0.25">
      <c r="A59" s="23"/>
      <c r="B59" s="59" t="s">
        <v>84</v>
      </c>
      <c r="C59" s="60">
        <f>SUM(D59:F59)</f>
        <v>2282.0410000000002</v>
      </c>
      <c r="D59" s="61">
        <f>548.691+1733.35</f>
        <v>2282.0410000000002</v>
      </c>
      <c r="E59" s="61">
        <v>0</v>
      </c>
      <c r="F59" s="61">
        <v>0</v>
      </c>
      <c r="G59" s="60">
        <f>SUM(H59:J59)</f>
        <v>267.59800000000001</v>
      </c>
      <c r="H59" s="61">
        <v>267.59800000000001</v>
      </c>
      <c r="I59" s="61">
        <v>0</v>
      </c>
      <c r="J59" s="61">
        <v>0</v>
      </c>
      <c r="K59" s="62">
        <f>G59/C59</f>
        <v>0.11726257328417851</v>
      </c>
      <c r="L59" s="25" t="s">
        <v>395</v>
      </c>
      <c r="N59" s="234"/>
      <c r="O59" s="234"/>
      <c r="P59" s="234"/>
      <c r="Q59" s="234"/>
      <c r="R59" s="234"/>
      <c r="S59" s="234"/>
      <c r="T59" s="234"/>
    </row>
    <row r="60" spans="1:20" s="2" customFormat="1" ht="21.2" customHeight="1" x14ac:dyDescent="0.25">
      <c r="A60" s="23"/>
      <c r="B60" s="212" t="s">
        <v>85</v>
      </c>
      <c r="C60" s="212"/>
      <c r="D60" s="212"/>
      <c r="E60" s="212"/>
      <c r="F60" s="212"/>
      <c r="G60" s="212"/>
      <c r="H60" s="212"/>
      <c r="I60" s="212"/>
      <c r="J60" s="212"/>
      <c r="K60" s="212"/>
      <c r="L60" s="212"/>
      <c r="N60" s="234"/>
      <c r="O60" s="234"/>
      <c r="P60" s="234"/>
      <c r="Q60" s="234"/>
      <c r="R60" s="234"/>
      <c r="S60" s="234"/>
      <c r="T60" s="234"/>
    </row>
    <row r="61" spans="1:20" s="14" customFormat="1" ht="50.25" customHeight="1" x14ac:dyDescent="0.2">
      <c r="A61" s="35"/>
      <c r="B61" s="63" t="s">
        <v>86</v>
      </c>
      <c r="C61" s="18">
        <f>SUM(D61:F61)</f>
        <v>88</v>
      </c>
      <c r="D61" s="19">
        <v>88</v>
      </c>
      <c r="E61" s="19">
        <v>0</v>
      </c>
      <c r="F61" s="19">
        <v>0</v>
      </c>
      <c r="G61" s="18">
        <f>SUM(H61:J61)</f>
        <v>76.87</v>
      </c>
      <c r="H61" s="19">
        <f>29.58+47.29</f>
        <v>76.87</v>
      </c>
      <c r="I61" s="19">
        <v>0</v>
      </c>
      <c r="J61" s="19">
        <v>0</v>
      </c>
      <c r="K61" s="20">
        <f>G61/C61</f>
        <v>0.87352272727272728</v>
      </c>
      <c r="L61" s="25" t="s">
        <v>396</v>
      </c>
      <c r="N61" s="236"/>
      <c r="O61" s="235"/>
      <c r="P61" s="235"/>
      <c r="Q61" s="235"/>
      <c r="R61" s="235"/>
      <c r="S61" s="235"/>
      <c r="T61" s="235"/>
    </row>
    <row r="62" spans="1:20" s="2" customFormat="1" ht="24.95" customHeight="1" x14ac:dyDescent="0.25">
      <c r="A62" s="23"/>
      <c r="B62" s="212" t="s">
        <v>87</v>
      </c>
      <c r="C62" s="212"/>
      <c r="D62" s="212"/>
      <c r="E62" s="212"/>
      <c r="F62" s="212"/>
      <c r="G62" s="212"/>
      <c r="H62" s="212"/>
      <c r="I62" s="212"/>
      <c r="J62" s="212"/>
      <c r="K62" s="212"/>
      <c r="L62" s="212"/>
      <c r="N62" s="234"/>
      <c r="O62" s="234"/>
      <c r="P62" s="234"/>
      <c r="Q62" s="234"/>
      <c r="R62" s="234"/>
      <c r="S62" s="234"/>
      <c r="T62" s="234"/>
    </row>
    <row r="63" spans="1:20" s="14" customFormat="1" ht="51.75" customHeight="1" x14ac:dyDescent="0.2">
      <c r="A63" s="24"/>
      <c r="B63" s="17" t="s">
        <v>88</v>
      </c>
      <c r="C63" s="30">
        <f>SUM(D63:F63)</f>
        <v>7153.5389999999998</v>
      </c>
      <c r="D63" s="31">
        <f>7077.239</f>
        <v>7077.2389999999996</v>
      </c>
      <c r="E63" s="31">
        <v>76.3</v>
      </c>
      <c r="F63" s="31">
        <v>0</v>
      </c>
      <c r="G63" s="30">
        <f>SUM(H63:J63)</f>
        <v>7044.28</v>
      </c>
      <c r="H63" s="31">
        <v>6982.59</v>
      </c>
      <c r="I63" s="31">
        <f>47.381+14.309</f>
        <v>61.69</v>
      </c>
      <c r="J63" s="31">
        <v>0</v>
      </c>
      <c r="K63" s="20">
        <f>G63/C63</f>
        <v>0.98472658078749553</v>
      </c>
      <c r="L63" s="33"/>
      <c r="N63" s="242"/>
      <c r="O63" s="235"/>
      <c r="P63" s="235"/>
      <c r="Q63" s="235"/>
      <c r="R63" s="235"/>
      <c r="S63" s="235"/>
      <c r="T63" s="235"/>
    </row>
    <row r="64" spans="1:20" s="2" customFormat="1" ht="22.5" customHeight="1" x14ac:dyDescent="0.2">
      <c r="A64" s="65" t="s">
        <v>89</v>
      </c>
      <c r="B64" s="220" t="s">
        <v>90</v>
      </c>
      <c r="C64" s="220"/>
      <c r="D64" s="220"/>
      <c r="E64" s="220"/>
      <c r="F64" s="220"/>
      <c r="G64" s="220"/>
      <c r="H64" s="220"/>
      <c r="I64" s="220"/>
      <c r="J64" s="220"/>
      <c r="K64" s="220"/>
      <c r="L64" s="220"/>
      <c r="N64" s="234"/>
      <c r="O64" s="234"/>
      <c r="P64" s="234"/>
      <c r="Q64" s="234"/>
      <c r="R64" s="234"/>
      <c r="S64" s="234"/>
      <c r="T64" s="234"/>
    </row>
    <row r="65" spans="1:20" s="14" customFormat="1" ht="53.25" customHeight="1" x14ac:dyDescent="0.2">
      <c r="A65" s="24"/>
      <c r="B65" s="17" t="s">
        <v>91</v>
      </c>
      <c r="C65" s="30">
        <f>SUM(C68+C70)</f>
        <v>5</v>
      </c>
      <c r="D65" s="31">
        <f>SUM(D68+D70)</f>
        <v>5</v>
      </c>
      <c r="E65" s="31">
        <f>SUM(E68+E70)</f>
        <v>0</v>
      </c>
      <c r="F65" s="31">
        <f>SUM(F68+F70)</f>
        <v>0</v>
      </c>
      <c r="G65" s="30">
        <f>H65+I65+J65</f>
        <v>5</v>
      </c>
      <c r="H65" s="31">
        <v>5</v>
      </c>
      <c r="I65" s="31">
        <f>SUM(I68+I70)</f>
        <v>0</v>
      </c>
      <c r="J65" s="31">
        <f>SUM(J68+J70)</f>
        <v>0</v>
      </c>
      <c r="K65" s="20">
        <f>G65/C65</f>
        <v>1</v>
      </c>
      <c r="L65" s="25"/>
      <c r="N65" s="235"/>
      <c r="O65" s="235"/>
      <c r="P65" s="235"/>
      <c r="Q65" s="235"/>
      <c r="R65" s="235"/>
      <c r="S65" s="235"/>
      <c r="T65" s="235"/>
    </row>
    <row r="66" spans="1:20" s="2" customFormat="1" ht="21.75" customHeight="1" x14ac:dyDescent="0.25">
      <c r="A66" s="23"/>
      <c r="B66" s="212" t="s">
        <v>92</v>
      </c>
      <c r="C66" s="212"/>
      <c r="D66" s="212"/>
      <c r="E66" s="212"/>
      <c r="F66" s="212"/>
      <c r="G66" s="212"/>
      <c r="H66" s="212"/>
      <c r="I66" s="212"/>
      <c r="J66" s="212"/>
      <c r="K66" s="212"/>
      <c r="L66" s="212"/>
      <c r="N66" s="234"/>
      <c r="O66" s="234"/>
      <c r="P66" s="234"/>
      <c r="Q66" s="234"/>
      <c r="R66" s="234"/>
      <c r="S66" s="234"/>
      <c r="T66" s="234"/>
    </row>
    <row r="67" spans="1:20" s="2" customFormat="1" ht="24" customHeight="1" x14ac:dyDescent="0.25">
      <c r="A67" s="23"/>
      <c r="B67" s="202" t="s">
        <v>93</v>
      </c>
      <c r="C67" s="202"/>
      <c r="D67" s="202"/>
      <c r="E67" s="202"/>
      <c r="F67" s="202"/>
      <c r="G67" s="202"/>
      <c r="H67" s="202"/>
      <c r="I67" s="202"/>
      <c r="J67" s="202"/>
      <c r="K67" s="202"/>
      <c r="L67" s="202"/>
      <c r="N67" s="234"/>
      <c r="O67" s="234"/>
      <c r="P67" s="234"/>
      <c r="Q67" s="234"/>
      <c r="R67" s="234"/>
      <c r="S67" s="234"/>
      <c r="T67" s="234"/>
    </row>
    <row r="68" spans="1:20" s="14" customFormat="1" ht="78.75" customHeight="1" x14ac:dyDescent="0.2">
      <c r="A68" s="35"/>
      <c r="B68" s="63" t="s">
        <v>94</v>
      </c>
      <c r="C68" s="30">
        <f>SUM(D68:F68)</f>
        <v>5</v>
      </c>
      <c r="D68" s="31">
        <v>5</v>
      </c>
      <c r="E68" s="31">
        <v>0</v>
      </c>
      <c r="F68" s="31">
        <v>0</v>
      </c>
      <c r="G68" s="30">
        <f>SUM(H68:J68)</f>
        <v>4.9980000000000002</v>
      </c>
      <c r="H68" s="31">
        <v>4.9980000000000002</v>
      </c>
      <c r="I68" s="31">
        <v>0</v>
      </c>
      <c r="J68" s="31">
        <v>0</v>
      </c>
      <c r="K68" s="20">
        <f>G68/C68</f>
        <v>0.99960000000000004</v>
      </c>
      <c r="L68" s="64"/>
      <c r="N68" s="235"/>
      <c r="O68" s="235"/>
      <c r="P68" s="235"/>
      <c r="Q68" s="235"/>
      <c r="R68" s="235"/>
      <c r="S68" s="235"/>
      <c r="T68" s="235"/>
    </row>
    <row r="69" spans="1:20" s="2" customFormat="1" ht="44.25" customHeight="1" x14ac:dyDescent="0.2">
      <c r="A69" s="34"/>
      <c r="B69" s="210" t="s">
        <v>95</v>
      </c>
      <c r="C69" s="210"/>
      <c r="D69" s="210"/>
      <c r="E69" s="210"/>
      <c r="F69" s="210"/>
      <c r="G69" s="210"/>
      <c r="H69" s="210"/>
      <c r="I69" s="210"/>
      <c r="J69" s="210"/>
      <c r="K69" s="210"/>
      <c r="L69" s="210"/>
      <c r="N69" s="234"/>
      <c r="O69" s="234"/>
      <c r="P69" s="234"/>
      <c r="Q69" s="234"/>
      <c r="R69" s="234"/>
      <c r="S69" s="234"/>
      <c r="T69" s="234"/>
    </row>
    <row r="70" spans="1:20" s="14" customFormat="1" ht="54.75" customHeight="1" x14ac:dyDescent="0.2">
      <c r="A70" s="24"/>
      <c r="B70" s="17" t="s">
        <v>96</v>
      </c>
      <c r="C70" s="30">
        <f>SUM(D70:F70)</f>
        <v>0</v>
      </c>
      <c r="D70" s="31">
        <v>0</v>
      </c>
      <c r="E70" s="31">
        <v>0</v>
      </c>
      <c r="F70" s="31">
        <v>0</v>
      </c>
      <c r="G70" s="30">
        <f>SUM(H70:J70)</f>
        <v>0</v>
      </c>
      <c r="H70" s="31">
        <v>0</v>
      </c>
      <c r="I70" s="31">
        <v>0</v>
      </c>
      <c r="J70" s="31">
        <v>0</v>
      </c>
      <c r="K70" s="32">
        <v>0</v>
      </c>
      <c r="L70" s="25"/>
      <c r="N70" s="235"/>
      <c r="O70" s="235"/>
      <c r="P70" s="235"/>
      <c r="Q70" s="235"/>
      <c r="R70" s="235"/>
      <c r="S70" s="235"/>
      <c r="T70" s="235"/>
    </row>
    <row r="71" spans="1:20" s="2" customFormat="1" ht="19.5" customHeight="1" x14ac:dyDescent="0.25">
      <c r="A71" s="28" t="s">
        <v>97</v>
      </c>
      <c r="B71" s="208" t="s">
        <v>98</v>
      </c>
      <c r="C71" s="208"/>
      <c r="D71" s="208"/>
      <c r="E71" s="208"/>
      <c r="F71" s="208"/>
      <c r="G71" s="208"/>
      <c r="H71" s="208"/>
      <c r="I71" s="208"/>
      <c r="J71" s="208"/>
      <c r="K71" s="208"/>
      <c r="L71" s="66"/>
      <c r="N71" s="234"/>
      <c r="O71" s="234"/>
      <c r="P71" s="234"/>
      <c r="Q71" s="234"/>
      <c r="R71" s="234"/>
      <c r="S71" s="234"/>
      <c r="T71" s="234"/>
    </row>
    <row r="72" spans="1:20" s="14" customFormat="1" ht="32.25" customHeight="1" x14ac:dyDescent="0.2">
      <c r="A72" s="24"/>
      <c r="B72" s="67" t="s">
        <v>99</v>
      </c>
      <c r="C72" s="68">
        <f t="shared" ref="C72:J72" si="0">SUM(C75)</f>
        <v>74</v>
      </c>
      <c r="D72" s="69">
        <f t="shared" si="0"/>
        <v>74</v>
      </c>
      <c r="E72" s="69">
        <f t="shared" si="0"/>
        <v>0</v>
      </c>
      <c r="F72" s="69">
        <f t="shared" si="0"/>
        <v>0</v>
      </c>
      <c r="G72" s="68">
        <f t="shared" si="0"/>
        <v>24</v>
      </c>
      <c r="H72" s="69">
        <f t="shared" si="0"/>
        <v>24</v>
      </c>
      <c r="I72" s="69">
        <f t="shared" si="0"/>
        <v>0</v>
      </c>
      <c r="J72" s="69">
        <f t="shared" si="0"/>
        <v>0</v>
      </c>
      <c r="K72" s="20">
        <f>G72/C72</f>
        <v>0.32432432432432434</v>
      </c>
      <c r="L72" s="25"/>
      <c r="N72" s="235"/>
      <c r="O72" s="235"/>
      <c r="P72" s="235"/>
      <c r="Q72" s="235"/>
      <c r="R72" s="235"/>
      <c r="S72" s="235"/>
      <c r="T72" s="235"/>
    </row>
    <row r="73" spans="1:20" s="2" customFormat="1" ht="18.75" customHeight="1" x14ac:dyDescent="0.25">
      <c r="A73" s="23"/>
      <c r="B73" s="212" t="s">
        <v>100</v>
      </c>
      <c r="C73" s="212"/>
      <c r="D73" s="212"/>
      <c r="E73" s="212"/>
      <c r="F73" s="212"/>
      <c r="G73" s="212"/>
      <c r="H73" s="212"/>
      <c r="I73" s="212"/>
      <c r="J73" s="212"/>
      <c r="K73" s="212"/>
      <c r="L73" s="212"/>
      <c r="N73" s="234"/>
      <c r="O73" s="234"/>
      <c r="P73" s="234"/>
      <c r="Q73" s="234"/>
      <c r="R73" s="234"/>
      <c r="S73" s="234"/>
      <c r="T73" s="234"/>
    </row>
    <row r="74" spans="1:20" s="2" customFormat="1" ht="24" customHeight="1" x14ac:dyDescent="0.2">
      <c r="A74" s="34"/>
      <c r="B74" s="210" t="s">
        <v>101</v>
      </c>
      <c r="C74" s="210"/>
      <c r="D74" s="210"/>
      <c r="E74" s="210"/>
      <c r="F74" s="210"/>
      <c r="G74" s="210"/>
      <c r="H74" s="210"/>
      <c r="I74" s="210"/>
      <c r="J74" s="210"/>
      <c r="K74" s="210"/>
      <c r="L74" s="210"/>
      <c r="N74" s="234"/>
      <c r="O74" s="234"/>
      <c r="P74" s="234"/>
      <c r="Q74" s="234"/>
      <c r="R74" s="234"/>
      <c r="S74" s="234"/>
      <c r="T74" s="234"/>
    </row>
    <row r="75" spans="1:20" s="14" customFormat="1" ht="63.75" customHeight="1" x14ac:dyDescent="0.2">
      <c r="A75" s="24"/>
      <c r="B75" s="17" t="s">
        <v>102</v>
      </c>
      <c r="C75" s="70">
        <f>SUM(D75:F75)</f>
        <v>74</v>
      </c>
      <c r="D75" s="71">
        <v>74</v>
      </c>
      <c r="E75" s="71">
        <v>0</v>
      </c>
      <c r="F75" s="71">
        <v>0</v>
      </c>
      <c r="G75" s="70">
        <f>SUM(H75:J75)</f>
        <v>24</v>
      </c>
      <c r="H75" s="71">
        <v>24</v>
      </c>
      <c r="I75" s="71">
        <v>0</v>
      </c>
      <c r="J75" s="71">
        <v>0</v>
      </c>
      <c r="K75" s="20">
        <f>G75/C75</f>
        <v>0.32432432432432434</v>
      </c>
      <c r="L75" s="25" t="s">
        <v>394</v>
      </c>
      <c r="N75" s="235"/>
      <c r="O75" s="235"/>
      <c r="P75" s="235"/>
      <c r="Q75" s="235"/>
      <c r="R75" s="235"/>
      <c r="S75" s="235"/>
      <c r="T75" s="235"/>
    </row>
    <row r="76" spans="1:20" s="2" customFormat="1" ht="31.5" customHeight="1" x14ac:dyDescent="0.25">
      <c r="A76" s="23"/>
      <c r="B76" s="212" t="s">
        <v>103</v>
      </c>
      <c r="C76" s="212"/>
      <c r="D76" s="212"/>
      <c r="E76" s="212"/>
      <c r="F76" s="212"/>
      <c r="G76" s="212"/>
      <c r="H76" s="212"/>
      <c r="I76" s="212"/>
      <c r="J76" s="212"/>
      <c r="K76" s="212"/>
      <c r="L76" s="212"/>
      <c r="N76" s="234"/>
      <c r="O76" s="234"/>
      <c r="P76" s="234"/>
      <c r="Q76" s="234"/>
      <c r="R76" s="234"/>
      <c r="S76" s="234"/>
      <c r="T76" s="234"/>
    </row>
    <row r="77" spans="1:20" s="14" customFormat="1" ht="63.75" customHeight="1" x14ac:dyDescent="0.2">
      <c r="A77" s="24"/>
      <c r="B77" s="17" t="s">
        <v>104</v>
      </c>
      <c r="C77" s="70">
        <f>D77+E77+F77</f>
        <v>0</v>
      </c>
      <c r="D77" s="71">
        <v>0</v>
      </c>
      <c r="E77" s="71">
        <v>0</v>
      </c>
      <c r="F77" s="71">
        <v>0</v>
      </c>
      <c r="G77" s="70">
        <f>H77+I77+J77</f>
        <v>0</v>
      </c>
      <c r="H77" s="71">
        <v>0</v>
      </c>
      <c r="I77" s="71">
        <v>0</v>
      </c>
      <c r="J77" s="71">
        <v>0</v>
      </c>
      <c r="K77" s="72">
        <v>0</v>
      </c>
      <c r="L77" s="33"/>
      <c r="N77" s="235"/>
      <c r="O77" s="235"/>
      <c r="P77" s="235"/>
      <c r="Q77" s="235"/>
      <c r="R77" s="235"/>
      <c r="S77" s="235"/>
      <c r="T77" s="235"/>
    </row>
    <row r="78" spans="1:20" s="2" customFormat="1" ht="21.75" customHeight="1" x14ac:dyDescent="0.25">
      <c r="A78" s="28" t="s">
        <v>105</v>
      </c>
      <c r="B78" s="203" t="s">
        <v>106</v>
      </c>
      <c r="C78" s="203"/>
      <c r="D78" s="203"/>
      <c r="E78" s="203"/>
      <c r="F78" s="203"/>
      <c r="G78" s="203"/>
      <c r="H78" s="203"/>
      <c r="I78" s="203"/>
      <c r="J78" s="203"/>
      <c r="K78" s="203"/>
      <c r="L78" s="73"/>
      <c r="N78" s="234"/>
      <c r="O78" s="234"/>
      <c r="P78" s="234"/>
      <c r="Q78" s="234"/>
      <c r="R78" s="234"/>
      <c r="S78" s="234"/>
      <c r="T78" s="234"/>
    </row>
    <row r="79" spans="1:20" s="14" customFormat="1" ht="45" customHeight="1" x14ac:dyDescent="0.2">
      <c r="A79" s="24"/>
      <c r="B79" s="17" t="s">
        <v>107</v>
      </c>
      <c r="C79" s="70">
        <f>D79+E79</f>
        <v>5</v>
      </c>
      <c r="D79" s="71">
        <f>SUM(D82)</f>
        <v>5</v>
      </c>
      <c r="E79" s="71">
        <f>SUM(E82)</f>
        <v>0</v>
      </c>
      <c r="F79" s="71">
        <f>SUM(F82)</f>
        <v>0</v>
      </c>
      <c r="G79" s="70">
        <f>G82+G84</f>
        <v>4.9989999999999997</v>
      </c>
      <c r="H79" s="71">
        <f>H82+H84</f>
        <v>4.9989999999999997</v>
      </c>
      <c r="I79" s="71">
        <f>SUM(I82)</f>
        <v>0</v>
      </c>
      <c r="J79" s="71">
        <f>SUM(J82)</f>
        <v>0</v>
      </c>
      <c r="K79" s="20">
        <f>G79/C79</f>
        <v>0.99979999999999991</v>
      </c>
      <c r="L79" s="33"/>
      <c r="N79" s="235"/>
      <c r="O79" s="235"/>
      <c r="P79" s="235"/>
      <c r="Q79" s="235"/>
      <c r="R79" s="235"/>
      <c r="S79" s="235"/>
      <c r="T79" s="235"/>
    </row>
    <row r="80" spans="1:20" s="2" customFormat="1" ht="20.45" customHeight="1" x14ac:dyDescent="0.25">
      <c r="A80" s="23"/>
      <c r="B80" s="212" t="s">
        <v>108</v>
      </c>
      <c r="C80" s="212"/>
      <c r="D80" s="212"/>
      <c r="E80" s="212"/>
      <c r="F80" s="212"/>
      <c r="G80" s="212"/>
      <c r="H80" s="212"/>
      <c r="I80" s="212"/>
      <c r="J80" s="212"/>
      <c r="K80" s="212"/>
      <c r="L80" s="25"/>
      <c r="N80" s="234"/>
      <c r="O80" s="234"/>
      <c r="P80" s="234"/>
      <c r="Q80" s="234"/>
      <c r="R80" s="234"/>
      <c r="S80" s="234"/>
      <c r="T80" s="234"/>
    </row>
    <row r="81" spans="1:20" s="2" customFormat="1" ht="18.75" customHeight="1" x14ac:dyDescent="0.25">
      <c r="A81" s="23"/>
      <c r="B81" s="212" t="s">
        <v>109</v>
      </c>
      <c r="C81" s="212"/>
      <c r="D81" s="212"/>
      <c r="E81" s="212"/>
      <c r="F81" s="212"/>
      <c r="G81" s="212"/>
      <c r="H81" s="212"/>
      <c r="I81" s="212"/>
      <c r="J81" s="212"/>
      <c r="K81" s="212"/>
      <c r="L81" s="25"/>
      <c r="N81" s="234"/>
      <c r="O81" s="234"/>
      <c r="P81" s="234"/>
      <c r="Q81" s="234"/>
      <c r="R81" s="234"/>
      <c r="S81" s="234"/>
      <c r="T81" s="234"/>
    </row>
    <row r="82" spans="1:20" s="14" customFormat="1" ht="69" customHeight="1" x14ac:dyDescent="0.2">
      <c r="A82" s="24"/>
      <c r="B82" s="17" t="s">
        <v>110</v>
      </c>
      <c r="C82" s="70">
        <f>SUM(D82:F82)</f>
        <v>5</v>
      </c>
      <c r="D82" s="71">
        <v>5</v>
      </c>
      <c r="E82" s="71">
        <v>0</v>
      </c>
      <c r="F82" s="71">
        <v>0</v>
      </c>
      <c r="G82" s="70">
        <f>SUM(H82:J82)</f>
        <v>4.9989999999999997</v>
      </c>
      <c r="H82" s="71">
        <v>4.9989999999999997</v>
      </c>
      <c r="I82" s="71">
        <v>0</v>
      </c>
      <c r="J82" s="71">
        <v>0</v>
      </c>
      <c r="K82" s="74">
        <f>G82/C82</f>
        <v>0.99979999999999991</v>
      </c>
      <c r="L82" s="25"/>
      <c r="N82" s="235"/>
      <c r="O82" s="235"/>
      <c r="P82" s="235"/>
      <c r="Q82" s="235"/>
      <c r="R82" s="235"/>
      <c r="S82" s="235"/>
      <c r="T82" s="235"/>
    </row>
    <row r="83" spans="1:20" s="2" customFormat="1" ht="21.75" customHeight="1" x14ac:dyDescent="0.25">
      <c r="A83" s="23"/>
      <c r="B83" s="212" t="s">
        <v>111</v>
      </c>
      <c r="C83" s="212"/>
      <c r="D83" s="212"/>
      <c r="E83" s="212"/>
      <c r="F83" s="212"/>
      <c r="G83" s="212"/>
      <c r="H83" s="212"/>
      <c r="I83" s="212"/>
      <c r="J83" s="212"/>
      <c r="K83" s="212"/>
      <c r="L83" s="212"/>
      <c r="N83" s="234"/>
      <c r="O83" s="234"/>
      <c r="P83" s="234"/>
      <c r="Q83" s="234"/>
      <c r="R83" s="234"/>
      <c r="S83" s="234"/>
      <c r="T83" s="234"/>
    </row>
    <row r="84" spans="1:20" s="14" customFormat="1" ht="75" customHeight="1" x14ac:dyDescent="0.2">
      <c r="A84" s="24"/>
      <c r="B84" s="17" t="s">
        <v>112</v>
      </c>
      <c r="C84" s="70">
        <f>D84+E84+F84</f>
        <v>0</v>
      </c>
      <c r="D84" s="71">
        <v>0</v>
      </c>
      <c r="E84" s="71">
        <v>0</v>
      </c>
      <c r="F84" s="71">
        <v>0</v>
      </c>
      <c r="G84" s="70">
        <f>H84+I84+J84</f>
        <v>0</v>
      </c>
      <c r="H84" s="71">
        <v>0</v>
      </c>
      <c r="I84" s="71">
        <v>0</v>
      </c>
      <c r="J84" s="71">
        <v>0</v>
      </c>
      <c r="K84" s="72">
        <v>0</v>
      </c>
      <c r="L84" s="25"/>
      <c r="N84" s="235"/>
      <c r="O84" s="235"/>
      <c r="P84" s="235"/>
      <c r="Q84" s="235"/>
      <c r="R84" s="235"/>
      <c r="S84" s="235"/>
      <c r="T84" s="235"/>
    </row>
    <row r="85" spans="1:20" s="2" customFormat="1" ht="19.5" customHeight="1" x14ac:dyDescent="0.25">
      <c r="A85" s="28" t="s">
        <v>113</v>
      </c>
      <c r="B85" s="203" t="s">
        <v>114</v>
      </c>
      <c r="C85" s="203"/>
      <c r="D85" s="203"/>
      <c r="E85" s="203"/>
      <c r="F85" s="203"/>
      <c r="G85" s="203"/>
      <c r="H85" s="203"/>
      <c r="I85" s="203"/>
      <c r="J85" s="203"/>
      <c r="K85" s="203"/>
      <c r="L85" s="203"/>
      <c r="N85" s="234"/>
      <c r="O85" s="234"/>
      <c r="P85" s="234"/>
      <c r="Q85" s="234"/>
      <c r="R85" s="234"/>
      <c r="S85" s="234"/>
      <c r="T85" s="234"/>
    </row>
    <row r="86" spans="1:20" s="14" customFormat="1" ht="66.75" customHeight="1" x14ac:dyDescent="0.2">
      <c r="A86" s="35"/>
      <c r="B86" s="63" t="s">
        <v>115</v>
      </c>
      <c r="C86" s="70">
        <f t="shared" ref="C86:J86" si="1">SUM(C89+C91+C93)</f>
        <v>11.3</v>
      </c>
      <c r="D86" s="71">
        <f t="shared" si="1"/>
        <v>11.3</v>
      </c>
      <c r="E86" s="71">
        <f t="shared" si="1"/>
        <v>0</v>
      </c>
      <c r="F86" s="71">
        <f t="shared" si="1"/>
        <v>0</v>
      </c>
      <c r="G86" s="70">
        <f t="shared" si="1"/>
        <v>11.3</v>
      </c>
      <c r="H86" s="71">
        <f t="shared" si="1"/>
        <v>11.3</v>
      </c>
      <c r="I86" s="71">
        <f t="shared" si="1"/>
        <v>0</v>
      </c>
      <c r="J86" s="71">
        <f t="shared" si="1"/>
        <v>0</v>
      </c>
      <c r="K86" s="20">
        <f>G86/C86</f>
        <v>1</v>
      </c>
      <c r="L86" s="64"/>
      <c r="N86" s="235"/>
      <c r="O86" s="235"/>
      <c r="P86" s="235"/>
      <c r="Q86" s="235"/>
      <c r="R86" s="235"/>
      <c r="S86" s="235"/>
      <c r="T86" s="235"/>
    </row>
    <row r="87" spans="1:20" s="2" customFormat="1" ht="50.25" customHeight="1" x14ac:dyDescent="0.2">
      <c r="A87" s="34"/>
      <c r="B87" s="210" t="s">
        <v>116</v>
      </c>
      <c r="C87" s="210"/>
      <c r="D87" s="210"/>
      <c r="E87" s="210"/>
      <c r="F87" s="210"/>
      <c r="G87" s="210"/>
      <c r="H87" s="210"/>
      <c r="I87" s="210"/>
      <c r="J87" s="210"/>
      <c r="K87" s="210"/>
      <c r="L87" s="210"/>
      <c r="N87" s="234"/>
      <c r="O87" s="234"/>
      <c r="P87" s="234"/>
      <c r="Q87" s="234"/>
      <c r="R87" s="234"/>
      <c r="S87" s="234"/>
      <c r="T87" s="234"/>
    </row>
    <row r="88" spans="1:20" s="2" customFormat="1" ht="22.5" customHeight="1" x14ac:dyDescent="0.25">
      <c r="A88" s="23"/>
      <c r="B88" s="212" t="s">
        <v>117</v>
      </c>
      <c r="C88" s="212"/>
      <c r="D88" s="212"/>
      <c r="E88" s="212"/>
      <c r="F88" s="212"/>
      <c r="G88" s="212"/>
      <c r="H88" s="212"/>
      <c r="I88" s="212"/>
      <c r="J88" s="212"/>
      <c r="K88" s="212"/>
      <c r="L88" s="212"/>
      <c r="N88" s="234"/>
      <c r="O88" s="234"/>
      <c r="P88" s="234"/>
      <c r="Q88" s="234"/>
      <c r="R88" s="234"/>
      <c r="S88" s="234"/>
      <c r="T88" s="234"/>
    </row>
    <row r="89" spans="1:20" s="14" customFormat="1" ht="69" customHeight="1" x14ac:dyDescent="0.2">
      <c r="A89" s="24"/>
      <c r="B89" s="17" t="s">
        <v>118</v>
      </c>
      <c r="C89" s="70">
        <f>SUM(D89:F89)</f>
        <v>3.9</v>
      </c>
      <c r="D89" s="71">
        <v>3.9</v>
      </c>
      <c r="E89" s="71">
        <v>0</v>
      </c>
      <c r="F89" s="71">
        <v>0</v>
      </c>
      <c r="G89" s="70">
        <f>SUM(H89:J89)</f>
        <v>3.9</v>
      </c>
      <c r="H89" s="71">
        <v>3.9</v>
      </c>
      <c r="I89" s="71">
        <v>0</v>
      </c>
      <c r="J89" s="71">
        <v>0</v>
      </c>
      <c r="K89" s="20">
        <f>G89/C89</f>
        <v>1</v>
      </c>
      <c r="L89" s="25"/>
      <c r="N89" s="235"/>
      <c r="O89" s="235"/>
      <c r="P89" s="235"/>
      <c r="Q89" s="235"/>
      <c r="R89" s="235"/>
      <c r="S89" s="235"/>
      <c r="T89" s="235"/>
    </row>
    <row r="90" spans="1:20" s="2" customFormat="1" ht="25.35" customHeight="1" x14ac:dyDescent="0.25">
      <c r="A90" s="23"/>
      <c r="B90" s="212" t="s">
        <v>119</v>
      </c>
      <c r="C90" s="212"/>
      <c r="D90" s="212"/>
      <c r="E90" s="212"/>
      <c r="F90" s="212"/>
      <c r="G90" s="212"/>
      <c r="H90" s="212"/>
      <c r="I90" s="212"/>
      <c r="J90" s="212"/>
      <c r="K90" s="212"/>
      <c r="L90" s="212"/>
      <c r="N90" s="234"/>
      <c r="O90" s="234"/>
      <c r="P90" s="234"/>
      <c r="Q90" s="234"/>
      <c r="R90" s="234"/>
      <c r="S90" s="234"/>
      <c r="T90" s="234"/>
    </row>
    <row r="91" spans="1:20" s="14" customFormat="1" ht="64.5" customHeight="1" x14ac:dyDescent="0.2">
      <c r="A91" s="24"/>
      <c r="B91" s="17" t="s">
        <v>120</v>
      </c>
      <c r="C91" s="70">
        <f>SUM(D91:F91)</f>
        <v>3.7</v>
      </c>
      <c r="D91" s="71">
        <v>3.7</v>
      </c>
      <c r="E91" s="71">
        <v>0</v>
      </c>
      <c r="F91" s="71">
        <v>0</v>
      </c>
      <c r="G91" s="70">
        <f>SUM(H91:J91)</f>
        <v>3.7</v>
      </c>
      <c r="H91" s="71">
        <v>3.7</v>
      </c>
      <c r="I91" s="71">
        <v>0</v>
      </c>
      <c r="J91" s="71">
        <v>0</v>
      </c>
      <c r="K91" s="20">
        <f>G91/C91</f>
        <v>1</v>
      </c>
      <c r="L91" s="25"/>
      <c r="N91" s="235"/>
      <c r="O91" s="235"/>
      <c r="P91" s="235"/>
      <c r="Q91" s="235"/>
      <c r="R91" s="235"/>
      <c r="S91" s="235"/>
      <c r="T91" s="235"/>
    </row>
    <row r="92" spans="1:20" s="2" customFormat="1" ht="26.25" customHeight="1" x14ac:dyDescent="0.25">
      <c r="A92" s="23"/>
      <c r="B92" s="212" t="s">
        <v>121</v>
      </c>
      <c r="C92" s="212"/>
      <c r="D92" s="212"/>
      <c r="E92" s="212"/>
      <c r="F92" s="212"/>
      <c r="G92" s="212"/>
      <c r="H92" s="212"/>
      <c r="I92" s="212"/>
      <c r="J92" s="212"/>
      <c r="K92" s="212"/>
      <c r="L92" s="212"/>
      <c r="N92" s="234"/>
      <c r="O92" s="234"/>
      <c r="P92" s="234"/>
      <c r="Q92" s="234"/>
      <c r="R92" s="234"/>
      <c r="S92" s="234"/>
      <c r="T92" s="234"/>
    </row>
    <row r="93" spans="1:20" s="78" customFormat="1" ht="85.5" customHeight="1" x14ac:dyDescent="0.25">
      <c r="A93" s="23"/>
      <c r="B93" s="59" t="s">
        <v>122</v>
      </c>
      <c r="C93" s="75">
        <f>SUM(D93:F93)</f>
        <v>3.7</v>
      </c>
      <c r="D93" s="76">
        <v>3.7</v>
      </c>
      <c r="E93" s="76">
        <v>0</v>
      </c>
      <c r="F93" s="76">
        <v>0</v>
      </c>
      <c r="G93" s="75">
        <f>SUM(H93:J93)</f>
        <v>3.7</v>
      </c>
      <c r="H93" s="76">
        <v>3.7</v>
      </c>
      <c r="I93" s="76">
        <v>0</v>
      </c>
      <c r="J93" s="76">
        <v>0</v>
      </c>
      <c r="K93" s="77">
        <f>G93/C93</f>
        <v>1</v>
      </c>
      <c r="L93" s="25"/>
      <c r="N93" s="247"/>
      <c r="O93" s="247"/>
      <c r="P93" s="247"/>
      <c r="Q93" s="247"/>
      <c r="R93" s="247"/>
      <c r="S93" s="247"/>
      <c r="T93" s="247"/>
    </row>
    <row r="94" spans="1:20" s="2" customFormat="1" ht="78.75" x14ac:dyDescent="0.25">
      <c r="A94" s="79" t="s">
        <v>123</v>
      </c>
      <c r="B94" s="53" t="s">
        <v>124</v>
      </c>
      <c r="C94" s="80">
        <f t="shared" ref="C94:J94" si="2">SUM(C96+C105+C125+C135+C146)</f>
        <v>345825.16239000001</v>
      </c>
      <c r="D94" s="80">
        <f t="shared" si="2"/>
        <v>151738.80738999997</v>
      </c>
      <c r="E94" s="80">
        <f t="shared" si="2"/>
        <v>186545.95500000002</v>
      </c>
      <c r="F94" s="80">
        <f t="shared" si="2"/>
        <v>7540.4</v>
      </c>
      <c r="G94" s="80">
        <f t="shared" si="2"/>
        <v>344797.29199999996</v>
      </c>
      <c r="H94" s="80">
        <f t="shared" si="2"/>
        <v>151114.54</v>
      </c>
      <c r="I94" s="80">
        <f t="shared" si="2"/>
        <v>186142.35200000001</v>
      </c>
      <c r="J94" s="80">
        <f t="shared" si="2"/>
        <v>7540.4</v>
      </c>
      <c r="K94" s="81">
        <f>G94/C94</f>
        <v>0.99702777443117085</v>
      </c>
      <c r="L94" s="82"/>
      <c r="N94" s="234"/>
      <c r="O94" s="234"/>
      <c r="P94" s="234"/>
      <c r="Q94" s="234"/>
      <c r="R94" s="234"/>
      <c r="S94" s="234"/>
      <c r="T94" s="234"/>
    </row>
    <row r="95" spans="1:20" s="2" customFormat="1" ht="22.5" customHeight="1" x14ac:dyDescent="0.25">
      <c r="A95" s="83" t="s">
        <v>125</v>
      </c>
      <c r="B95" s="203" t="s">
        <v>126</v>
      </c>
      <c r="C95" s="203"/>
      <c r="D95" s="203"/>
      <c r="E95" s="203"/>
      <c r="F95" s="203"/>
      <c r="G95" s="203"/>
      <c r="H95" s="203"/>
      <c r="I95" s="203"/>
      <c r="J95" s="203"/>
      <c r="K95" s="203"/>
      <c r="L95" s="84"/>
      <c r="N95" s="234"/>
      <c r="O95" s="234"/>
      <c r="P95" s="234"/>
      <c r="Q95" s="234"/>
      <c r="R95" s="234"/>
      <c r="S95" s="234"/>
      <c r="T95" s="234"/>
    </row>
    <row r="96" spans="1:20" s="2" customFormat="1" ht="46.5" customHeight="1" x14ac:dyDescent="0.25">
      <c r="A96" s="85"/>
      <c r="B96" s="86" t="s">
        <v>127</v>
      </c>
      <c r="C96" s="87">
        <f>SUM(C99+C100+C102+C103)</f>
        <v>126146.511</v>
      </c>
      <c r="D96" s="88">
        <f>SUM(D99+D100+D102+D103)</f>
        <v>38500.111000000004</v>
      </c>
      <c r="E96" s="88">
        <f>SUM(E99+E100+E102+E103)</f>
        <v>87646.399999999994</v>
      </c>
      <c r="F96" s="89">
        <f>SUM(F99+F100+F102+F103)</f>
        <v>0</v>
      </c>
      <c r="G96" s="87">
        <f>SUM(G99+G100+G102+G103)</f>
        <v>126146.511</v>
      </c>
      <c r="H96" s="88">
        <f>SUM(H99+H100+H102)+H103</f>
        <v>38500.111000000004</v>
      </c>
      <c r="I96" s="88">
        <f>SUM(I99+I100+I102)+I103</f>
        <v>87646.399999999994</v>
      </c>
      <c r="J96" s="88">
        <f>SUM(J99+J100+J102)+J103</f>
        <v>0</v>
      </c>
      <c r="K96" s="90">
        <f>G96/C96</f>
        <v>1</v>
      </c>
      <c r="L96" s="91"/>
      <c r="N96" s="234"/>
      <c r="O96" s="234"/>
      <c r="P96" s="234"/>
      <c r="Q96" s="234"/>
      <c r="R96" s="234"/>
      <c r="S96" s="234"/>
      <c r="T96" s="234"/>
    </row>
    <row r="97" spans="1:20" s="2" customFormat="1" ht="19.5" customHeight="1" x14ac:dyDescent="0.25">
      <c r="A97" s="85"/>
      <c r="B97" s="219" t="s">
        <v>128</v>
      </c>
      <c r="C97" s="219"/>
      <c r="D97" s="219"/>
      <c r="E97" s="219"/>
      <c r="F97" s="219"/>
      <c r="G97" s="219"/>
      <c r="H97" s="219"/>
      <c r="I97" s="219"/>
      <c r="J97" s="219"/>
      <c r="K97" s="219"/>
      <c r="L97" s="91"/>
      <c r="N97" s="234"/>
      <c r="O97" s="234"/>
      <c r="P97" s="234"/>
      <c r="Q97" s="234"/>
      <c r="R97" s="234"/>
      <c r="S97" s="234"/>
      <c r="T97" s="234"/>
    </row>
    <row r="98" spans="1:20" s="2" customFormat="1" ht="33.950000000000003" customHeight="1" x14ac:dyDescent="0.25">
      <c r="A98" s="85"/>
      <c r="B98" s="219" t="s">
        <v>129</v>
      </c>
      <c r="C98" s="219"/>
      <c r="D98" s="219"/>
      <c r="E98" s="219"/>
      <c r="F98" s="219"/>
      <c r="G98" s="219"/>
      <c r="H98" s="219"/>
      <c r="I98" s="219"/>
      <c r="J98" s="219"/>
      <c r="K98" s="219"/>
      <c r="L98" s="91"/>
      <c r="N98" s="234"/>
      <c r="O98" s="234"/>
      <c r="P98" s="234"/>
      <c r="Q98" s="234"/>
      <c r="R98" s="234"/>
      <c r="S98" s="234"/>
      <c r="T98" s="234"/>
    </row>
    <row r="99" spans="1:20" s="2" customFormat="1" ht="93.75" customHeight="1" x14ac:dyDescent="0.25">
      <c r="A99" s="85"/>
      <c r="B99" s="92" t="s">
        <v>130</v>
      </c>
      <c r="C99" s="93">
        <f>SUM(D99:F99)</f>
        <v>87476</v>
      </c>
      <c r="D99" s="94">
        <v>0</v>
      </c>
      <c r="E99" s="95">
        <f>86472+1004</f>
        <v>87476</v>
      </c>
      <c r="F99" s="94">
        <v>0</v>
      </c>
      <c r="G99" s="93">
        <f>SUM(H99:J99)</f>
        <v>87476</v>
      </c>
      <c r="H99" s="95">
        <v>0</v>
      </c>
      <c r="I99" s="95">
        <f>86472+1004</f>
        <v>87476</v>
      </c>
      <c r="J99" s="94">
        <v>0</v>
      </c>
      <c r="K99" s="96">
        <f>G99/C99</f>
        <v>1</v>
      </c>
      <c r="L99" s="91"/>
      <c r="N99" s="234"/>
      <c r="O99" s="234"/>
      <c r="P99" s="234"/>
      <c r="Q99" s="234"/>
      <c r="R99" s="234"/>
      <c r="S99" s="234"/>
      <c r="T99" s="234"/>
    </row>
    <row r="100" spans="1:20" s="2" customFormat="1" ht="94.5" customHeight="1" x14ac:dyDescent="0.25">
      <c r="A100" s="85"/>
      <c r="B100" s="92" t="s">
        <v>131</v>
      </c>
      <c r="C100" s="93">
        <f>SUM(D100:F100)</f>
        <v>34450.800000000003</v>
      </c>
      <c r="D100" s="94">
        <v>34280.400000000001</v>
      </c>
      <c r="E100" s="95">
        <v>170.4</v>
      </c>
      <c r="F100" s="94">
        <v>0</v>
      </c>
      <c r="G100" s="93">
        <f>SUM(H100:J100)</f>
        <v>34450.800000000003</v>
      </c>
      <c r="H100" s="95">
        <v>34280.400000000001</v>
      </c>
      <c r="I100" s="95">
        <v>170.4</v>
      </c>
      <c r="J100" s="94">
        <v>0</v>
      </c>
      <c r="K100" s="96">
        <f>G100/C100</f>
        <v>1</v>
      </c>
      <c r="L100" s="91"/>
      <c r="N100" s="234"/>
      <c r="O100" s="234"/>
      <c r="P100" s="234"/>
      <c r="Q100" s="234"/>
      <c r="R100" s="234"/>
      <c r="S100" s="234"/>
      <c r="T100" s="234"/>
    </row>
    <row r="101" spans="1:20" s="2" customFormat="1" ht="30.75" customHeight="1" x14ac:dyDescent="0.25">
      <c r="A101" s="97"/>
      <c r="B101" s="215" t="s">
        <v>132</v>
      </c>
      <c r="C101" s="215"/>
      <c r="D101" s="215"/>
      <c r="E101" s="215"/>
      <c r="F101" s="215"/>
      <c r="G101" s="215"/>
      <c r="H101" s="215"/>
      <c r="I101" s="215"/>
      <c r="J101" s="215"/>
      <c r="K101" s="215"/>
      <c r="L101" s="98"/>
      <c r="N101" s="234"/>
      <c r="O101" s="234"/>
      <c r="P101" s="234"/>
      <c r="Q101" s="234"/>
      <c r="R101" s="234"/>
      <c r="S101" s="234"/>
      <c r="T101" s="234"/>
    </row>
    <row r="102" spans="1:20" s="2" customFormat="1" ht="141" customHeight="1" x14ac:dyDescent="0.25">
      <c r="A102" s="85"/>
      <c r="B102" s="92" t="s">
        <v>133</v>
      </c>
      <c r="C102" s="93">
        <f>SUM(D102:F102)</f>
        <v>179.71100000000001</v>
      </c>
      <c r="D102" s="94">
        <v>179.71100000000001</v>
      </c>
      <c r="E102" s="95">
        <v>0</v>
      </c>
      <c r="F102" s="94">
        <v>0</v>
      </c>
      <c r="G102" s="93">
        <f>SUM(H102:J102)</f>
        <v>179.71100000000001</v>
      </c>
      <c r="H102" s="95">
        <v>179.71100000000001</v>
      </c>
      <c r="I102" s="95">
        <v>0</v>
      </c>
      <c r="J102" s="94">
        <v>0</v>
      </c>
      <c r="K102" s="96">
        <f>G102/C102</f>
        <v>1</v>
      </c>
      <c r="L102" s="91"/>
      <c r="N102" s="234"/>
      <c r="O102" s="234"/>
      <c r="P102" s="234"/>
      <c r="Q102" s="234"/>
      <c r="R102" s="234"/>
      <c r="S102" s="234"/>
      <c r="T102" s="234"/>
    </row>
    <row r="103" spans="1:20" s="2" customFormat="1" ht="104.25" customHeight="1" x14ac:dyDescent="0.25">
      <c r="A103" s="85"/>
      <c r="B103" s="92" t="s">
        <v>134</v>
      </c>
      <c r="C103" s="93">
        <f>SUM(D103:F103)</f>
        <v>4040</v>
      </c>
      <c r="D103" s="94">
        <v>4040</v>
      </c>
      <c r="E103" s="95">
        <v>0</v>
      </c>
      <c r="F103" s="94">
        <v>0</v>
      </c>
      <c r="G103" s="93">
        <f>SUM(H103:J103)</f>
        <v>4040</v>
      </c>
      <c r="H103" s="95">
        <v>4040</v>
      </c>
      <c r="I103" s="95">
        <v>0</v>
      </c>
      <c r="J103" s="94">
        <v>0</v>
      </c>
      <c r="K103" s="96">
        <f>G103/C103</f>
        <v>1</v>
      </c>
      <c r="L103" s="91"/>
      <c r="N103" s="234"/>
      <c r="O103" s="234"/>
      <c r="P103" s="234"/>
      <c r="Q103" s="234"/>
      <c r="R103" s="234"/>
      <c r="S103" s="234"/>
      <c r="T103" s="234"/>
    </row>
    <row r="104" spans="1:20" s="2" customFormat="1" ht="36" customHeight="1" x14ac:dyDescent="0.25">
      <c r="A104" s="99" t="s">
        <v>135</v>
      </c>
      <c r="B104" s="220" t="s">
        <v>136</v>
      </c>
      <c r="C104" s="220"/>
      <c r="D104" s="220"/>
      <c r="E104" s="220"/>
      <c r="F104" s="220"/>
      <c r="G104" s="220"/>
      <c r="H104" s="220"/>
      <c r="I104" s="220"/>
      <c r="J104" s="220"/>
      <c r="K104" s="220"/>
      <c r="L104" s="100"/>
      <c r="N104" s="234"/>
      <c r="O104" s="234"/>
      <c r="P104" s="234"/>
      <c r="Q104" s="234"/>
      <c r="R104" s="234"/>
      <c r="S104" s="234"/>
      <c r="T104" s="234"/>
    </row>
    <row r="105" spans="1:20" s="2" customFormat="1" ht="54" customHeight="1" x14ac:dyDescent="0.25">
      <c r="A105" s="85"/>
      <c r="B105" s="101" t="s">
        <v>137</v>
      </c>
      <c r="C105" s="87">
        <f>SUM(D105:F105)</f>
        <v>136420.80439</v>
      </c>
      <c r="D105" s="88">
        <f>SUM(D108+D109+D110+D112+D113+D114+D116+D117+D119+D120+D122+D123)</f>
        <v>36945.10439</v>
      </c>
      <c r="E105" s="88">
        <f>SUM(E108+E109+E110+E112+E113+E114+E116+E117+E119+E120+E122+E123)</f>
        <v>91935.3</v>
      </c>
      <c r="F105" s="88">
        <f>SUM(F108+F109+F110+F112+F113+F114+F116+F117+F119+F120+F122+F123)</f>
        <v>7540.4</v>
      </c>
      <c r="G105" s="87">
        <f>SUM(H105:J105)</f>
        <v>136420.304</v>
      </c>
      <c r="H105" s="88">
        <f>SUM(H108+H109+H110+H112+H113+H114+H116+H117+H120+H119+H122+H123)</f>
        <v>36944.604000000007</v>
      </c>
      <c r="I105" s="88">
        <f>SUM(I108+I109+I110+I112+I113+I114+I116+I117+I120+I119+I122+I123)</f>
        <v>91935.3</v>
      </c>
      <c r="J105" s="88">
        <f>SUM(J108+J109+J110+J112+J114+J116+J117+J120+J119+J122+J123)</f>
        <v>7540.4</v>
      </c>
      <c r="K105" s="90">
        <f>G105/C105</f>
        <v>0.99999633201107241</v>
      </c>
      <c r="L105" s="102"/>
      <c r="N105" s="234"/>
      <c r="O105" s="234"/>
      <c r="P105" s="234"/>
      <c r="Q105" s="234"/>
      <c r="R105" s="234"/>
      <c r="S105" s="234"/>
      <c r="T105" s="234"/>
    </row>
    <row r="106" spans="1:20" s="2" customFormat="1" ht="21.2" customHeight="1" x14ac:dyDescent="0.25">
      <c r="A106" s="85"/>
      <c r="B106" s="217" t="s">
        <v>138</v>
      </c>
      <c r="C106" s="217"/>
      <c r="D106" s="217"/>
      <c r="E106" s="217"/>
      <c r="F106" s="217"/>
      <c r="G106" s="217"/>
      <c r="H106" s="217"/>
      <c r="I106" s="217"/>
      <c r="J106" s="217"/>
      <c r="K106" s="217"/>
      <c r="L106" s="102"/>
      <c r="N106" s="234"/>
      <c r="O106" s="234"/>
      <c r="P106" s="234"/>
      <c r="Q106" s="234"/>
      <c r="R106" s="234"/>
      <c r="S106" s="234"/>
      <c r="T106" s="234"/>
    </row>
    <row r="107" spans="1:20" s="2" customFormat="1" ht="30.75" customHeight="1" x14ac:dyDescent="0.25">
      <c r="A107" s="85"/>
      <c r="B107" s="219" t="s">
        <v>139</v>
      </c>
      <c r="C107" s="219"/>
      <c r="D107" s="219"/>
      <c r="E107" s="219"/>
      <c r="F107" s="219"/>
      <c r="G107" s="219"/>
      <c r="H107" s="219"/>
      <c r="I107" s="219"/>
      <c r="J107" s="219"/>
      <c r="K107" s="219"/>
      <c r="L107" s="102"/>
      <c r="N107" s="234"/>
      <c r="O107" s="234"/>
      <c r="P107" s="234"/>
      <c r="Q107" s="234"/>
      <c r="R107" s="234"/>
      <c r="S107" s="234"/>
      <c r="T107" s="234"/>
    </row>
    <row r="108" spans="1:20" s="2" customFormat="1" ht="96" customHeight="1" x14ac:dyDescent="0.25">
      <c r="A108" s="103"/>
      <c r="B108" s="59" t="s">
        <v>140</v>
      </c>
      <c r="C108" s="93">
        <f>SUM(D108:F108)</f>
        <v>4043</v>
      </c>
      <c r="D108" s="95">
        <v>0</v>
      </c>
      <c r="E108" s="95">
        <v>0</v>
      </c>
      <c r="F108" s="95">
        <v>4043</v>
      </c>
      <c r="G108" s="93">
        <f>SUM(H108:J108)</f>
        <v>4043</v>
      </c>
      <c r="H108" s="95">
        <v>0</v>
      </c>
      <c r="I108" s="95">
        <v>0</v>
      </c>
      <c r="J108" s="95">
        <v>4043</v>
      </c>
      <c r="K108" s="104">
        <f>G108/C108</f>
        <v>1</v>
      </c>
      <c r="L108" s="105"/>
      <c r="N108" s="234"/>
      <c r="O108" s="234"/>
      <c r="P108" s="234"/>
      <c r="Q108" s="234"/>
      <c r="R108" s="234"/>
      <c r="S108" s="234"/>
      <c r="T108" s="234"/>
    </row>
    <row r="109" spans="1:20" s="2" customFormat="1" ht="186.75" customHeight="1" x14ac:dyDescent="0.25">
      <c r="A109" s="103"/>
      <c r="B109" s="59" t="s">
        <v>141</v>
      </c>
      <c r="C109" s="93">
        <f>SUM(D109:F109)</f>
        <v>88703</v>
      </c>
      <c r="D109" s="95">
        <v>0</v>
      </c>
      <c r="E109" s="106">
        <f>85158+3545</f>
        <v>88703</v>
      </c>
      <c r="F109" s="95">
        <v>0</v>
      </c>
      <c r="G109" s="93">
        <f>SUM(H109:J109)</f>
        <v>88703</v>
      </c>
      <c r="H109" s="95">
        <v>0</v>
      </c>
      <c r="I109" s="95">
        <f>85158+3545</f>
        <v>88703</v>
      </c>
      <c r="J109" s="95">
        <v>0</v>
      </c>
      <c r="K109" s="104">
        <f>G109/C109</f>
        <v>1</v>
      </c>
      <c r="L109" s="105"/>
      <c r="N109" s="234"/>
      <c r="O109" s="234"/>
      <c r="P109" s="234"/>
      <c r="Q109" s="234"/>
      <c r="R109" s="234"/>
      <c r="S109" s="234"/>
      <c r="T109" s="234"/>
    </row>
    <row r="110" spans="1:20" s="2" customFormat="1" ht="112.5" customHeight="1" x14ac:dyDescent="0.25">
      <c r="A110" s="103"/>
      <c r="B110" s="107" t="s">
        <v>142</v>
      </c>
      <c r="C110" s="93">
        <f>SUM(D110:F110)</f>
        <v>343.4</v>
      </c>
      <c r="D110" s="95">
        <v>0</v>
      </c>
      <c r="E110" s="106">
        <v>0</v>
      </c>
      <c r="F110" s="95">
        <v>343.4</v>
      </c>
      <c r="G110" s="93">
        <f>SUM(H110:J110)</f>
        <v>343.4</v>
      </c>
      <c r="H110" s="95">
        <v>0</v>
      </c>
      <c r="I110" s="95">
        <v>0</v>
      </c>
      <c r="J110" s="95">
        <v>343.4</v>
      </c>
      <c r="K110" s="104">
        <f>G110/C110</f>
        <v>1</v>
      </c>
      <c r="L110" s="108"/>
      <c r="N110" s="234"/>
      <c r="O110" s="234"/>
      <c r="P110" s="234"/>
      <c r="Q110" s="234"/>
      <c r="R110" s="234"/>
      <c r="S110" s="234"/>
      <c r="T110" s="234"/>
    </row>
    <row r="111" spans="1:20" s="2" customFormat="1" ht="22.5" customHeight="1" x14ac:dyDescent="0.25">
      <c r="A111" s="103"/>
      <c r="B111" s="202" t="s">
        <v>144</v>
      </c>
      <c r="C111" s="202"/>
      <c r="D111" s="202"/>
      <c r="E111" s="202"/>
      <c r="F111" s="202"/>
      <c r="G111" s="202"/>
      <c r="H111" s="202"/>
      <c r="I111" s="202"/>
      <c r="J111" s="202"/>
      <c r="K111" s="202"/>
      <c r="L111" s="202"/>
      <c r="N111" s="234"/>
      <c r="O111" s="234"/>
      <c r="P111" s="234"/>
      <c r="Q111" s="234"/>
      <c r="R111" s="234"/>
      <c r="S111" s="234"/>
      <c r="T111" s="234"/>
    </row>
    <row r="112" spans="1:20" s="2" customFormat="1" ht="84" customHeight="1" x14ac:dyDescent="0.25">
      <c r="A112" s="103"/>
      <c r="B112" s="59" t="s">
        <v>145</v>
      </c>
      <c r="C112" s="93">
        <f>SUM(D112:F112)</f>
        <v>20754.5</v>
      </c>
      <c r="D112" s="95">
        <v>20620.5</v>
      </c>
      <c r="E112" s="95">
        <v>134</v>
      </c>
      <c r="F112" s="95">
        <v>0</v>
      </c>
      <c r="G112" s="93">
        <f>SUM(H112:J112)</f>
        <v>20754</v>
      </c>
      <c r="H112" s="95">
        <v>20620</v>
      </c>
      <c r="I112" s="95">
        <v>134</v>
      </c>
      <c r="J112" s="95">
        <v>0</v>
      </c>
      <c r="K112" s="104">
        <f>G112/C112</f>
        <v>0.99997590883904697</v>
      </c>
      <c r="L112" s="105"/>
      <c r="N112" s="234"/>
      <c r="O112" s="234"/>
      <c r="P112" s="234"/>
      <c r="Q112" s="234"/>
      <c r="R112" s="234"/>
      <c r="S112" s="234"/>
      <c r="T112" s="234"/>
    </row>
    <row r="113" spans="1:20" s="2" customFormat="1" ht="84" customHeight="1" x14ac:dyDescent="0.25">
      <c r="A113" s="103"/>
      <c r="B113" s="59" t="s">
        <v>147</v>
      </c>
      <c r="C113" s="93">
        <f>SUM(D113:F113)</f>
        <v>2595.4673899999998</v>
      </c>
      <c r="D113" s="95">
        <v>1256.1673900000001</v>
      </c>
      <c r="E113" s="95">
        <v>1339.3</v>
      </c>
      <c r="F113" s="95">
        <v>0</v>
      </c>
      <c r="G113" s="93">
        <f>SUM(H113:J113)</f>
        <v>2595.4669999999996</v>
      </c>
      <c r="H113" s="257">
        <v>1256.1669999999999</v>
      </c>
      <c r="I113" s="95">
        <v>1339.3</v>
      </c>
      <c r="J113" s="95">
        <v>0</v>
      </c>
      <c r="K113" s="104">
        <f>G113/C113</f>
        <v>0.99999984973804656</v>
      </c>
      <c r="L113" s="105"/>
      <c r="N113" s="234"/>
      <c r="O113" s="234"/>
      <c r="P113" s="234"/>
      <c r="Q113" s="234"/>
      <c r="R113" s="234"/>
      <c r="S113" s="234"/>
      <c r="T113" s="234"/>
    </row>
    <row r="114" spans="1:20" s="2" customFormat="1" ht="45.75" customHeight="1" x14ac:dyDescent="0.25">
      <c r="A114" s="103"/>
      <c r="B114" s="59" t="s">
        <v>148</v>
      </c>
      <c r="C114" s="93">
        <f>SUM(D114:F114)</f>
        <v>0</v>
      </c>
      <c r="D114" s="95">
        <v>0</v>
      </c>
      <c r="E114" s="95">
        <v>0</v>
      </c>
      <c r="F114" s="95">
        <v>0</v>
      </c>
      <c r="G114" s="93">
        <f>SUM(H114:J114)</f>
        <v>0</v>
      </c>
      <c r="H114" s="95">
        <v>0</v>
      </c>
      <c r="I114" s="95">
        <v>0</v>
      </c>
      <c r="J114" s="95">
        <v>0</v>
      </c>
      <c r="K114" s="104">
        <v>0</v>
      </c>
      <c r="L114" s="109"/>
      <c r="N114" s="234"/>
      <c r="O114" s="234"/>
      <c r="P114" s="234"/>
      <c r="Q114" s="234"/>
      <c r="R114" s="234"/>
      <c r="S114" s="234"/>
      <c r="T114" s="234"/>
    </row>
    <row r="115" spans="1:20" s="2" customFormat="1" ht="18.75" customHeight="1" x14ac:dyDescent="0.25">
      <c r="A115" s="103"/>
      <c r="B115" s="202" t="s">
        <v>149</v>
      </c>
      <c r="C115" s="202"/>
      <c r="D115" s="202"/>
      <c r="E115" s="202"/>
      <c r="F115" s="202"/>
      <c r="G115" s="202"/>
      <c r="H115" s="202"/>
      <c r="I115" s="202"/>
      <c r="J115" s="202"/>
      <c r="K115" s="202"/>
      <c r="L115" s="105"/>
      <c r="N115" s="234"/>
      <c r="O115" s="234"/>
      <c r="P115" s="234"/>
      <c r="Q115" s="234"/>
      <c r="R115" s="234"/>
      <c r="S115" s="234"/>
      <c r="T115" s="234"/>
    </row>
    <row r="116" spans="1:20" s="2" customFormat="1" ht="126" customHeight="1" x14ac:dyDescent="0.25">
      <c r="A116" s="103"/>
      <c r="B116" s="59" t="s">
        <v>150</v>
      </c>
      <c r="C116" s="93">
        <f>SUM(D116:F116)</f>
        <v>309.93700000000001</v>
      </c>
      <c r="D116" s="95">
        <f>244.766+65.171</f>
        <v>309.93700000000001</v>
      </c>
      <c r="E116" s="95">
        <v>0</v>
      </c>
      <c r="F116" s="95">
        <v>0</v>
      </c>
      <c r="G116" s="93">
        <f>SUM(H116:J116)</f>
        <v>309.93700000000001</v>
      </c>
      <c r="H116" s="95">
        <f>244.766+65.171</f>
        <v>309.93700000000001</v>
      </c>
      <c r="I116" s="95">
        <v>0</v>
      </c>
      <c r="J116" s="95">
        <v>0</v>
      </c>
      <c r="K116" s="104">
        <f>G116/C116</f>
        <v>1</v>
      </c>
      <c r="L116" s="105"/>
      <c r="N116" s="234"/>
      <c r="O116" s="234"/>
      <c r="P116" s="234"/>
      <c r="Q116" s="234"/>
      <c r="R116" s="234"/>
      <c r="S116" s="234"/>
      <c r="T116" s="234"/>
    </row>
    <row r="117" spans="1:20" s="2" customFormat="1" ht="102" customHeight="1" x14ac:dyDescent="0.25">
      <c r="A117" s="103"/>
      <c r="B117" s="59" t="s">
        <v>151</v>
      </c>
      <c r="C117" s="93">
        <f>SUM(D117:F117)</f>
        <v>2120</v>
      </c>
      <c r="D117" s="95">
        <v>2120</v>
      </c>
      <c r="E117" s="95">
        <v>0</v>
      </c>
      <c r="F117" s="95">
        <v>0</v>
      </c>
      <c r="G117" s="93">
        <f>SUM(H117:J117)</f>
        <v>2120</v>
      </c>
      <c r="H117" s="95">
        <v>2120</v>
      </c>
      <c r="I117" s="95">
        <v>0</v>
      </c>
      <c r="J117" s="95">
        <v>0</v>
      </c>
      <c r="K117" s="104">
        <f>G117/C117</f>
        <v>1</v>
      </c>
      <c r="L117" s="105"/>
      <c r="N117" s="234"/>
      <c r="O117" s="234"/>
      <c r="P117" s="234"/>
      <c r="Q117" s="234"/>
      <c r="R117" s="234"/>
      <c r="S117" s="234"/>
      <c r="T117" s="234"/>
    </row>
    <row r="118" spans="1:20" s="2" customFormat="1" ht="34.5" customHeight="1" x14ac:dyDescent="0.25">
      <c r="A118" s="103"/>
      <c r="B118" s="212" t="s">
        <v>152</v>
      </c>
      <c r="C118" s="212"/>
      <c r="D118" s="212"/>
      <c r="E118" s="212"/>
      <c r="F118" s="212"/>
      <c r="G118" s="212"/>
      <c r="H118" s="212"/>
      <c r="I118" s="212"/>
      <c r="J118" s="212"/>
      <c r="K118" s="212"/>
      <c r="L118" s="105"/>
      <c r="N118" s="234"/>
      <c r="O118" s="234"/>
      <c r="P118" s="234"/>
      <c r="Q118" s="234"/>
      <c r="R118" s="234"/>
      <c r="S118" s="234"/>
      <c r="T118" s="234"/>
    </row>
    <row r="119" spans="1:20" s="2" customFormat="1" ht="64.5" customHeight="1" x14ac:dyDescent="0.25">
      <c r="A119" s="103"/>
      <c r="B119" s="59" t="s">
        <v>153</v>
      </c>
      <c r="C119" s="93">
        <f>SUM(D119:F119)</f>
        <v>0</v>
      </c>
      <c r="D119" s="95">
        <v>0</v>
      </c>
      <c r="E119" s="95">
        <v>0</v>
      </c>
      <c r="F119" s="95">
        <v>0</v>
      </c>
      <c r="G119" s="93">
        <f>SUM(H119:J119)</f>
        <v>0</v>
      </c>
      <c r="H119" s="95">
        <v>0</v>
      </c>
      <c r="I119" s="95">
        <v>0</v>
      </c>
      <c r="J119" s="95">
        <v>0</v>
      </c>
      <c r="K119" s="110">
        <v>0</v>
      </c>
      <c r="L119" s="105"/>
      <c r="N119" s="234"/>
      <c r="O119" s="234"/>
      <c r="P119" s="234"/>
      <c r="Q119" s="234"/>
      <c r="R119" s="234"/>
      <c r="S119" s="234"/>
      <c r="T119" s="234"/>
    </row>
    <row r="120" spans="1:20" s="2" customFormat="1" ht="64.5" customHeight="1" x14ac:dyDescent="0.25">
      <c r="A120" s="103"/>
      <c r="B120" s="59" t="s">
        <v>154</v>
      </c>
      <c r="C120" s="93">
        <f>SUM(D120:F120)</f>
        <v>3000</v>
      </c>
      <c r="D120" s="95">
        <v>3000</v>
      </c>
      <c r="E120" s="95">
        <v>0</v>
      </c>
      <c r="F120" s="95">
        <v>0</v>
      </c>
      <c r="G120" s="93">
        <f>SUM(H120:J120)</f>
        <v>3000</v>
      </c>
      <c r="H120" s="200">
        <v>3000</v>
      </c>
      <c r="I120" s="95">
        <v>0</v>
      </c>
      <c r="J120" s="95">
        <v>0</v>
      </c>
      <c r="K120" s="104">
        <f>G120/C120</f>
        <v>1</v>
      </c>
      <c r="L120" s="105"/>
      <c r="N120" s="234"/>
      <c r="O120" s="234"/>
      <c r="P120" s="234"/>
      <c r="Q120" s="234"/>
      <c r="R120" s="234"/>
      <c r="S120" s="234"/>
      <c r="T120" s="234"/>
    </row>
    <row r="121" spans="1:20" s="2" customFormat="1" ht="21.75" customHeight="1" x14ac:dyDescent="0.25">
      <c r="A121" s="103"/>
      <c r="B121" s="202" t="s">
        <v>155</v>
      </c>
      <c r="C121" s="202"/>
      <c r="D121" s="202"/>
      <c r="E121" s="202"/>
      <c r="F121" s="202"/>
      <c r="G121" s="202"/>
      <c r="H121" s="202"/>
      <c r="I121" s="202"/>
      <c r="J121" s="202"/>
      <c r="K121" s="202"/>
      <c r="L121" s="105"/>
      <c r="N121" s="234"/>
      <c r="O121" s="234"/>
      <c r="P121" s="234"/>
      <c r="Q121" s="234"/>
      <c r="R121" s="234"/>
      <c r="S121" s="234"/>
      <c r="T121" s="234"/>
    </row>
    <row r="122" spans="1:20" s="2" customFormat="1" ht="98.25" customHeight="1" x14ac:dyDescent="0.25">
      <c r="A122" s="103"/>
      <c r="B122" s="59" t="s">
        <v>156</v>
      </c>
      <c r="C122" s="93">
        <f>SUM(D122:F122)</f>
        <v>3154</v>
      </c>
      <c r="D122" s="95">
        <v>0</v>
      </c>
      <c r="E122" s="95">
        <v>0</v>
      </c>
      <c r="F122" s="95">
        <f>6154-3000</f>
        <v>3154</v>
      </c>
      <c r="G122" s="93">
        <f>H122+I122+J122</f>
        <v>3154</v>
      </c>
      <c r="H122" s="95">
        <v>0</v>
      </c>
      <c r="I122" s="95">
        <v>0</v>
      </c>
      <c r="J122" s="95">
        <v>3154</v>
      </c>
      <c r="K122" s="104">
        <f>G122/C122</f>
        <v>1</v>
      </c>
      <c r="L122" s="105"/>
      <c r="N122" s="234"/>
      <c r="O122" s="234"/>
      <c r="P122" s="234"/>
      <c r="Q122" s="234"/>
      <c r="R122" s="234"/>
      <c r="S122" s="234"/>
      <c r="T122" s="234"/>
    </row>
    <row r="123" spans="1:20" s="2" customFormat="1" ht="69" customHeight="1" x14ac:dyDescent="0.25">
      <c r="A123" s="103"/>
      <c r="B123" s="59" t="s">
        <v>157</v>
      </c>
      <c r="C123" s="93">
        <f>SUM(D123:F123)</f>
        <v>11397.5</v>
      </c>
      <c r="D123" s="95">
        <v>9638.5</v>
      </c>
      <c r="E123" s="95">
        <f>1411+348</f>
        <v>1759</v>
      </c>
      <c r="F123" s="95">
        <v>0</v>
      </c>
      <c r="G123" s="93">
        <f>H123+I123</f>
        <v>11397.5</v>
      </c>
      <c r="H123" s="95">
        <v>9638.5</v>
      </c>
      <c r="I123" s="95">
        <v>1759</v>
      </c>
      <c r="J123" s="95">
        <v>0</v>
      </c>
      <c r="K123" s="104">
        <f>G123/C123</f>
        <v>1</v>
      </c>
      <c r="L123" s="105"/>
      <c r="N123" s="234"/>
      <c r="O123" s="234"/>
      <c r="P123" s="234"/>
      <c r="Q123" s="234"/>
      <c r="R123" s="234"/>
      <c r="S123" s="234"/>
      <c r="T123" s="234"/>
    </row>
    <row r="124" spans="1:20" s="2" customFormat="1" ht="20.45" customHeight="1" x14ac:dyDescent="0.25">
      <c r="A124" s="83" t="s">
        <v>158</v>
      </c>
      <c r="B124" s="203" t="s">
        <v>159</v>
      </c>
      <c r="C124" s="203"/>
      <c r="D124" s="203"/>
      <c r="E124" s="203"/>
      <c r="F124" s="203"/>
      <c r="G124" s="203"/>
      <c r="H124" s="203"/>
      <c r="I124" s="203"/>
      <c r="J124" s="203"/>
      <c r="K124" s="203"/>
      <c r="L124" s="111"/>
      <c r="N124" s="234"/>
      <c r="O124" s="234"/>
      <c r="P124" s="234"/>
      <c r="Q124" s="234"/>
      <c r="R124" s="234"/>
      <c r="S124" s="234"/>
      <c r="T124" s="234"/>
    </row>
    <row r="125" spans="1:20" s="2" customFormat="1" ht="46.5" customHeight="1" x14ac:dyDescent="0.25">
      <c r="A125" s="103"/>
      <c r="B125" s="112" t="s">
        <v>160</v>
      </c>
      <c r="C125" s="87">
        <f t="shared" ref="C125:J125" si="3">SUM(C128+C129+C133)</f>
        <v>75577.286000000007</v>
      </c>
      <c r="D125" s="113">
        <f t="shared" si="3"/>
        <v>72462.531000000003</v>
      </c>
      <c r="E125" s="114">
        <f t="shared" si="3"/>
        <v>3114.7549999999997</v>
      </c>
      <c r="F125" s="114">
        <f t="shared" si="3"/>
        <v>0</v>
      </c>
      <c r="G125" s="87">
        <f t="shared" si="3"/>
        <v>74803.082999999999</v>
      </c>
      <c r="H125" s="113">
        <f t="shared" si="3"/>
        <v>71853.873999999996</v>
      </c>
      <c r="I125" s="114">
        <f t="shared" si="3"/>
        <v>2949.2090000000003</v>
      </c>
      <c r="J125" s="114">
        <f t="shared" si="3"/>
        <v>0</v>
      </c>
      <c r="K125" s="115">
        <f>G125/C125</f>
        <v>0.98975614181223692</v>
      </c>
      <c r="L125" s="105"/>
      <c r="N125" s="234"/>
      <c r="O125" s="234"/>
      <c r="P125" s="234"/>
      <c r="Q125" s="234"/>
      <c r="R125" s="234"/>
      <c r="S125" s="234"/>
      <c r="T125" s="234"/>
    </row>
    <row r="126" spans="1:20" s="2" customFormat="1" ht="19.5" customHeight="1" x14ac:dyDescent="0.25">
      <c r="A126" s="103"/>
      <c r="B126" s="212" t="s">
        <v>161</v>
      </c>
      <c r="C126" s="212"/>
      <c r="D126" s="212"/>
      <c r="E126" s="212"/>
      <c r="F126" s="212"/>
      <c r="G126" s="212"/>
      <c r="H126" s="212"/>
      <c r="I126" s="212"/>
      <c r="J126" s="212"/>
      <c r="K126" s="212"/>
      <c r="L126" s="105"/>
      <c r="N126" s="234"/>
      <c r="O126" s="234"/>
      <c r="P126" s="234"/>
      <c r="Q126" s="234"/>
      <c r="R126" s="234"/>
      <c r="S126" s="234"/>
      <c r="T126" s="234"/>
    </row>
    <row r="127" spans="1:20" s="2" customFormat="1" ht="18.75" customHeight="1" x14ac:dyDescent="0.25">
      <c r="A127" s="103"/>
      <c r="B127" s="202" t="s">
        <v>162</v>
      </c>
      <c r="C127" s="202"/>
      <c r="D127" s="202"/>
      <c r="E127" s="202"/>
      <c r="F127" s="202"/>
      <c r="G127" s="202"/>
      <c r="H127" s="202"/>
      <c r="I127" s="202"/>
      <c r="J127" s="202"/>
      <c r="K127" s="202"/>
      <c r="L127" s="105"/>
      <c r="N127" s="234"/>
      <c r="O127" s="234"/>
      <c r="P127" s="234"/>
      <c r="Q127" s="234"/>
      <c r="R127" s="234"/>
      <c r="S127" s="234"/>
      <c r="T127" s="234"/>
    </row>
    <row r="128" spans="1:20" s="2" customFormat="1" ht="108" customHeight="1" x14ac:dyDescent="0.25">
      <c r="A128" s="103"/>
      <c r="B128" s="116" t="s">
        <v>163</v>
      </c>
      <c r="C128" s="93">
        <f>D128+E128+F128</f>
        <v>68745.094000000012</v>
      </c>
      <c r="D128" s="95">
        <f>29703.385+15473.454+20453.5</f>
        <v>65630.339000000007</v>
      </c>
      <c r="E128" s="95">
        <f>66.7+48.4+174.155+130.3+2123.673+571.527</f>
        <v>3114.7549999999997</v>
      </c>
      <c r="F128" s="95">
        <v>0</v>
      </c>
      <c r="G128" s="93">
        <f>SUM(H128:J128)</f>
        <v>68002.764999999999</v>
      </c>
      <c r="H128" s="95">
        <f>29703.385+14896.671+20453.5</f>
        <v>65053.555999999997</v>
      </c>
      <c r="I128" s="95">
        <f>66.7+130.3+571.527+43.783+13.226+1696.532+99.076+328.065</f>
        <v>2949.2090000000003</v>
      </c>
      <c r="J128" s="95">
        <v>0</v>
      </c>
      <c r="K128" s="104">
        <f>G128/C128</f>
        <v>0.98920171670723134</v>
      </c>
      <c r="L128" s="105"/>
      <c r="N128" s="248"/>
      <c r="O128" s="234"/>
      <c r="P128" s="234"/>
      <c r="Q128" s="234"/>
      <c r="R128" s="234"/>
      <c r="S128" s="234"/>
      <c r="T128" s="234"/>
    </row>
    <row r="129" spans="1:20" s="2" customFormat="1" ht="99" customHeight="1" x14ac:dyDescent="0.25">
      <c r="A129" s="103"/>
      <c r="B129" s="116" t="s">
        <v>165</v>
      </c>
      <c r="C129" s="93">
        <f>SUM(D129:F129)</f>
        <v>815.4</v>
      </c>
      <c r="D129" s="95">
        <f>515.4+300</f>
        <v>815.4</v>
      </c>
      <c r="E129" s="95">
        <v>0</v>
      </c>
      <c r="F129" s="95">
        <v>0</v>
      </c>
      <c r="G129" s="93">
        <f>H129+J129</f>
        <v>815.4</v>
      </c>
      <c r="H129" s="257">
        <v>815.4</v>
      </c>
      <c r="I129" s="95">
        <v>0</v>
      </c>
      <c r="J129" s="95">
        <v>0</v>
      </c>
      <c r="K129" s="104">
        <f>G129/C129</f>
        <v>1</v>
      </c>
      <c r="L129" s="105"/>
      <c r="N129" s="234"/>
      <c r="O129" s="234"/>
      <c r="P129" s="234"/>
      <c r="Q129" s="234"/>
      <c r="R129" s="234"/>
      <c r="S129" s="234"/>
      <c r="T129" s="234"/>
    </row>
    <row r="130" spans="1:20" s="2" customFormat="1" ht="41.25" customHeight="1" x14ac:dyDescent="0.25">
      <c r="A130" s="103"/>
      <c r="B130" s="116" t="s">
        <v>166</v>
      </c>
      <c r="C130" s="93">
        <f>SUM(D130:F130)</f>
        <v>0</v>
      </c>
      <c r="D130" s="95">
        <v>0</v>
      </c>
      <c r="E130" s="95">
        <v>0</v>
      </c>
      <c r="F130" s="95">
        <v>0</v>
      </c>
      <c r="G130" s="93">
        <f>H130+J130</f>
        <v>0</v>
      </c>
      <c r="H130" s="95">
        <v>0</v>
      </c>
      <c r="I130" s="95">
        <v>0</v>
      </c>
      <c r="J130" s="95">
        <v>0</v>
      </c>
      <c r="K130" s="110">
        <v>0</v>
      </c>
      <c r="L130" s="105"/>
      <c r="N130" s="234"/>
      <c r="O130" s="234"/>
      <c r="P130" s="234"/>
      <c r="Q130" s="234"/>
      <c r="R130" s="234"/>
      <c r="S130" s="234"/>
      <c r="T130" s="234"/>
    </row>
    <row r="131" spans="1:20" s="2" customFormat="1" ht="20.25" customHeight="1" x14ac:dyDescent="0.25">
      <c r="A131" s="103"/>
      <c r="B131" s="218" t="s">
        <v>167</v>
      </c>
      <c r="C131" s="218"/>
      <c r="D131" s="218"/>
      <c r="E131" s="218"/>
      <c r="F131" s="218"/>
      <c r="G131" s="218"/>
      <c r="H131" s="218"/>
      <c r="I131" s="218"/>
      <c r="J131" s="218"/>
      <c r="K131" s="218"/>
      <c r="L131" s="105"/>
      <c r="N131" s="234"/>
      <c r="O131" s="234"/>
      <c r="P131" s="234"/>
      <c r="Q131" s="234"/>
      <c r="R131" s="234"/>
      <c r="S131" s="234"/>
      <c r="T131" s="234"/>
    </row>
    <row r="132" spans="1:20" s="2" customFormat="1" ht="15.75" hidden="1" customHeight="1" x14ac:dyDescent="0.25">
      <c r="A132" s="103"/>
      <c r="B132" s="218" t="s">
        <v>168</v>
      </c>
      <c r="C132" s="218"/>
      <c r="D132" s="218"/>
      <c r="E132" s="218"/>
      <c r="F132" s="218"/>
      <c r="G132" s="218"/>
      <c r="H132" s="218"/>
      <c r="I132" s="218"/>
      <c r="J132" s="218"/>
      <c r="K132" s="218"/>
      <c r="L132" s="105"/>
      <c r="N132" s="234"/>
      <c r="O132" s="234"/>
      <c r="P132" s="234"/>
      <c r="Q132" s="234"/>
      <c r="R132" s="234"/>
      <c r="S132" s="234"/>
      <c r="T132" s="234"/>
    </row>
    <row r="133" spans="1:20" s="2" customFormat="1" ht="132" customHeight="1" x14ac:dyDescent="0.25">
      <c r="A133" s="103"/>
      <c r="B133" s="116" t="s">
        <v>169</v>
      </c>
      <c r="C133" s="93">
        <f>D133+E133+F133</f>
        <v>6016.7919999999995</v>
      </c>
      <c r="D133" s="95">
        <f>4754.614+1262.178</f>
        <v>6016.7919999999995</v>
      </c>
      <c r="E133" s="95">
        <v>0</v>
      </c>
      <c r="F133" s="95">
        <v>0</v>
      </c>
      <c r="G133" s="93">
        <f>SUM(H133:J133)</f>
        <v>5984.9179999999997</v>
      </c>
      <c r="H133" s="95">
        <f>1262.178+4722.74</f>
        <v>5984.9179999999997</v>
      </c>
      <c r="I133" s="95">
        <v>0</v>
      </c>
      <c r="J133" s="95">
        <v>0</v>
      </c>
      <c r="K133" s="104">
        <f>G133/C133</f>
        <v>0.99470249262397636</v>
      </c>
      <c r="L133" s="105"/>
      <c r="N133" s="234"/>
      <c r="O133" s="234"/>
      <c r="P133" s="234"/>
      <c r="Q133" s="234"/>
      <c r="R133" s="234"/>
      <c r="S133" s="234"/>
      <c r="T133" s="234"/>
    </row>
    <row r="134" spans="1:20" s="2" customFormat="1" ht="19.5" customHeight="1" x14ac:dyDescent="0.25">
      <c r="A134" s="83" t="s">
        <v>170</v>
      </c>
      <c r="B134" s="208" t="s">
        <v>171</v>
      </c>
      <c r="C134" s="208"/>
      <c r="D134" s="208"/>
      <c r="E134" s="208"/>
      <c r="F134" s="208"/>
      <c r="G134" s="208"/>
      <c r="H134" s="208"/>
      <c r="I134" s="208"/>
      <c r="J134" s="208"/>
      <c r="K134" s="208"/>
      <c r="L134" s="119"/>
      <c r="N134" s="234"/>
      <c r="O134" s="234"/>
      <c r="P134" s="234"/>
      <c r="Q134" s="234"/>
      <c r="R134" s="234"/>
      <c r="S134" s="234"/>
      <c r="T134" s="234"/>
    </row>
    <row r="135" spans="1:20" s="2" customFormat="1" ht="47.45" customHeight="1" x14ac:dyDescent="0.25">
      <c r="A135" s="85"/>
      <c r="B135" s="120" t="s">
        <v>172</v>
      </c>
      <c r="C135" s="87">
        <f>SUM(C138+C140+C142)</f>
        <v>516.93200000000002</v>
      </c>
      <c r="D135" s="113">
        <f>SUM(D138+D140+D142)</f>
        <v>516.93200000000002</v>
      </c>
      <c r="E135" s="113">
        <f>SUM(E138+E140+E142)</f>
        <v>0</v>
      </c>
      <c r="F135" s="113">
        <f>SUM(F138+F140+F142)</f>
        <v>0</v>
      </c>
      <c r="G135" s="121">
        <f>SUM(G138+G140+G142)</f>
        <v>512.08899999999994</v>
      </c>
      <c r="H135" s="113">
        <f>H138+H140+H142</f>
        <v>512.08899999999994</v>
      </c>
      <c r="I135" s="113">
        <f>SUM(I138+I140+I142)</f>
        <v>0</v>
      </c>
      <c r="J135" s="113">
        <f>SUM(J138+J140+J142)</f>
        <v>0</v>
      </c>
      <c r="K135" s="122">
        <f>G135/C135</f>
        <v>0.99063126291272341</v>
      </c>
      <c r="L135" s="102"/>
      <c r="N135" s="234"/>
      <c r="O135" s="234"/>
      <c r="P135" s="234"/>
      <c r="Q135" s="234"/>
      <c r="R135" s="234"/>
      <c r="S135" s="234"/>
      <c r="T135" s="234"/>
    </row>
    <row r="136" spans="1:20" s="2" customFormat="1" ht="18" customHeight="1" x14ac:dyDescent="0.25">
      <c r="A136" s="97"/>
      <c r="B136" s="216" t="s">
        <v>173</v>
      </c>
      <c r="C136" s="216"/>
      <c r="D136" s="216"/>
      <c r="E136" s="216"/>
      <c r="F136" s="216"/>
      <c r="G136" s="216"/>
      <c r="H136" s="216"/>
      <c r="I136" s="216"/>
      <c r="J136" s="216"/>
      <c r="K136" s="216"/>
      <c r="L136" s="98"/>
      <c r="N136" s="234"/>
      <c r="O136" s="234"/>
      <c r="P136" s="234"/>
      <c r="Q136" s="234"/>
      <c r="R136" s="234"/>
      <c r="S136" s="234"/>
      <c r="T136" s="234"/>
    </row>
    <row r="137" spans="1:20" s="2" customFormat="1" ht="17.25" customHeight="1" x14ac:dyDescent="0.25">
      <c r="A137" s="85"/>
      <c r="B137" s="212" t="s">
        <v>174</v>
      </c>
      <c r="C137" s="212"/>
      <c r="D137" s="212"/>
      <c r="E137" s="212"/>
      <c r="F137" s="212"/>
      <c r="G137" s="212"/>
      <c r="H137" s="212"/>
      <c r="I137" s="212"/>
      <c r="J137" s="212"/>
      <c r="K137" s="212"/>
      <c r="L137" s="102"/>
      <c r="N137" s="234"/>
      <c r="O137" s="234"/>
      <c r="P137" s="234"/>
      <c r="Q137" s="234"/>
      <c r="R137" s="234"/>
      <c r="S137" s="234"/>
      <c r="T137" s="234"/>
    </row>
    <row r="138" spans="1:20" s="2" customFormat="1" ht="64.5" customHeight="1" x14ac:dyDescent="0.25">
      <c r="A138" s="85"/>
      <c r="B138" s="59" t="s">
        <v>175</v>
      </c>
      <c r="C138" s="93">
        <f>SUM(D138:F138)</f>
        <v>0</v>
      </c>
      <c r="D138" s="95">
        <v>0</v>
      </c>
      <c r="E138" s="95">
        <v>0</v>
      </c>
      <c r="F138" s="95">
        <v>0</v>
      </c>
      <c r="G138" s="93">
        <f>H138+I138+J138</f>
        <v>0</v>
      </c>
      <c r="H138" s="95">
        <v>0</v>
      </c>
      <c r="I138" s="95">
        <v>0</v>
      </c>
      <c r="J138" s="95">
        <v>0</v>
      </c>
      <c r="K138" s="104">
        <v>0</v>
      </c>
      <c r="L138" s="102"/>
      <c r="N138" s="234"/>
      <c r="O138" s="234"/>
      <c r="P138" s="234"/>
      <c r="Q138" s="234"/>
      <c r="R138" s="234"/>
      <c r="S138" s="234"/>
      <c r="T138" s="234"/>
    </row>
    <row r="139" spans="1:20" s="2" customFormat="1" ht="21.2" customHeight="1" x14ac:dyDescent="0.25">
      <c r="A139" s="85"/>
      <c r="B139" s="202" t="s">
        <v>176</v>
      </c>
      <c r="C139" s="202"/>
      <c r="D139" s="202"/>
      <c r="E139" s="202"/>
      <c r="F139" s="202"/>
      <c r="G139" s="202"/>
      <c r="H139" s="202"/>
      <c r="I139" s="202"/>
      <c r="J139" s="202"/>
      <c r="K139" s="202"/>
      <c r="L139" s="102"/>
      <c r="N139" s="234"/>
      <c r="O139" s="234"/>
      <c r="P139" s="234"/>
      <c r="Q139" s="234"/>
      <c r="R139" s="234"/>
      <c r="S139" s="234"/>
      <c r="T139" s="234"/>
    </row>
    <row r="140" spans="1:20" s="2" customFormat="1" ht="48.75" customHeight="1" x14ac:dyDescent="0.25">
      <c r="A140" s="85"/>
      <c r="B140" s="59" t="s">
        <v>177</v>
      </c>
      <c r="C140" s="93">
        <f>SUM(D140:F140)</f>
        <v>246.93200000000002</v>
      </c>
      <c r="D140" s="95">
        <f>111.932+135</f>
        <v>246.93200000000002</v>
      </c>
      <c r="E140" s="95">
        <v>0</v>
      </c>
      <c r="F140" s="95">
        <v>0</v>
      </c>
      <c r="G140" s="93">
        <f>H140+I140+J140</f>
        <v>242.089</v>
      </c>
      <c r="H140" s="257">
        <f>135+107.089</f>
        <v>242.089</v>
      </c>
      <c r="I140" s="95">
        <v>0</v>
      </c>
      <c r="J140" s="95">
        <v>0</v>
      </c>
      <c r="K140" s="104">
        <f>G140/C140</f>
        <v>0.98038731310644223</v>
      </c>
      <c r="L140" s="102"/>
      <c r="N140" s="234"/>
      <c r="O140" s="234"/>
      <c r="P140" s="234"/>
      <c r="Q140" s="234"/>
      <c r="R140" s="234"/>
      <c r="S140" s="234"/>
      <c r="T140" s="234"/>
    </row>
    <row r="141" spans="1:20" s="2" customFormat="1" ht="30.75" customHeight="1" x14ac:dyDescent="0.25">
      <c r="A141" s="85"/>
      <c r="B141" s="212" t="s">
        <v>178</v>
      </c>
      <c r="C141" s="212"/>
      <c r="D141" s="212"/>
      <c r="E141" s="212"/>
      <c r="F141" s="212"/>
      <c r="G141" s="212"/>
      <c r="H141" s="212"/>
      <c r="I141" s="212"/>
      <c r="J141" s="212"/>
      <c r="K141" s="212"/>
      <c r="L141" s="102"/>
      <c r="N141" s="234"/>
      <c r="O141" s="234"/>
      <c r="P141" s="234"/>
      <c r="Q141" s="234"/>
      <c r="R141" s="234"/>
      <c r="S141" s="234"/>
      <c r="T141" s="234"/>
    </row>
    <row r="142" spans="1:20" s="2" customFormat="1" ht="63" customHeight="1" x14ac:dyDescent="0.25">
      <c r="A142" s="85"/>
      <c r="B142" s="59" t="s">
        <v>179</v>
      </c>
      <c r="C142" s="93">
        <f>SUM(D142:F142)</f>
        <v>270</v>
      </c>
      <c r="D142" s="95">
        <f>405-135</f>
        <v>270</v>
      </c>
      <c r="E142" s="95">
        <v>0</v>
      </c>
      <c r="F142" s="95">
        <v>0</v>
      </c>
      <c r="G142" s="93">
        <f>H142+I142+J142</f>
        <v>270</v>
      </c>
      <c r="H142" s="257">
        <v>270</v>
      </c>
      <c r="I142" s="95">
        <v>0</v>
      </c>
      <c r="J142" s="95">
        <v>0</v>
      </c>
      <c r="K142" s="104">
        <f>G142/C142</f>
        <v>1</v>
      </c>
      <c r="L142" s="102"/>
      <c r="N142" s="234"/>
      <c r="O142" s="234"/>
      <c r="P142" s="234"/>
      <c r="Q142" s="234"/>
      <c r="R142" s="234"/>
      <c r="S142" s="234"/>
      <c r="T142" s="234"/>
    </row>
    <row r="143" spans="1:20" s="2" customFormat="1" ht="18" customHeight="1" x14ac:dyDescent="0.25">
      <c r="A143" s="85"/>
      <c r="B143" s="212" t="s">
        <v>180</v>
      </c>
      <c r="C143" s="212"/>
      <c r="D143" s="212"/>
      <c r="E143" s="212"/>
      <c r="F143" s="212"/>
      <c r="G143" s="212"/>
      <c r="H143" s="212"/>
      <c r="I143" s="212"/>
      <c r="J143" s="212"/>
      <c r="K143" s="212"/>
      <c r="L143" s="102"/>
      <c r="N143" s="234"/>
      <c r="O143" s="234"/>
      <c r="P143" s="234"/>
      <c r="Q143" s="234"/>
      <c r="R143" s="234"/>
      <c r="S143" s="234"/>
      <c r="T143" s="234"/>
    </row>
    <row r="144" spans="1:20" s="2" customFormat="1" ht="84" customHeight="1" x14ac:dyDescent="0.25">
      <c r="A144" s="85"/>
      <c r="B144" s="59" t="s">
        <v>181</v>
      </c>
      <c r="C144" s="93">
        <f>SUM(D144:F144)</f>
        <v>0</v>
      </c>
      <c r="D144" s="95">
        <v>0</v>
      </c>
      <c r="E144" s="95">
        <v>0</v>
      </c>
      <c r="F144" s="95">
        <v>0</v>
      </c>
      <c r="G144" s="93">
        <f>H144+I144+J144</f>
        <v>0</v>
      </c>
      <c r="H144" s="95">
        <v>0</v>
      </c>
      <c r="I144" s="95">
        <v>0</v>
      </c>
      <c r="J144" s="95">
        <v>0</v>
      </c>
      <c r="K144" s="104">
        <v>0</v>
      </c>
      <c r="L144" s="102"/>
      <c r="N144" s="234"/>
      <c r="O144" s="234"/>
      <c r="P144" s="234"/>
      <c r="Q144" s="234"/>
      <c r="R144" s="234"/>
      <c r="S144" s="234"/>
      <c r="T144" s="234"/>
    </row>
    <row r="145" spans="1:20" s="2" customFormat="1" ht="19.5" customHeight="1" x14ac:dyDescent="0.25">
      <c r="A145" s="83" t="s">
        <v>182</v>
      </c>
      <c r="B145" s="208" t="s">
        <v>183</v>
      </c>
      <c r="C145" s="208"/>
      <c r="D145" s="208"/>
      <c r="E145" s="208"/>
      <c r="F145" s="208"/>
      <c r="G145" s="208"/>
      <c r="H145" s="208"/>
      <c r="I145" s="208"/>
      <c r="J145" s="208"/>
      <c r="K145" s="208"/>
      <c r="L145" s="111"/>
      <c r="N145" s="234"/>
      <c r="O145" s="234"/>
      <c r="P145" s="234"/>
      <c r="Q145" s="234"/>
      <c r="R145" s="234"/>
      <c r="S145" s="234"/>
      <c r="T145" s="234"/>
    </row>
    <row r="146" spans="1:20" s="2" customFormat="1" ht="53.25" customHeight="1" x14ac:dyDescent="0.25">
      <c r="A146" s="85"/>
      <c r="B146" s="123" t="s">
        <v>184</v>
      </c>
      <c r="C146" s="121">
        <f>SUM(C149+C151)</f>
        <v>7163.6289999999999</v>
      </c>
      <c r="D146" s="88">
        <f>D149+D151</f>
        <v>3314.1289999999999</v>
      </c>
      <c r="E146" s="113">
        <f>SUM(E149+E151)</f>
        <v>3849.5</v>
      </c>
      <c r="F146" s="88">
        <f>SUM(F149+F151)</f>
        <v>0</v>
      </c>
      <c r="G146" s="121">
        <f>H146+I146</f>
        <v>6915.3050000000003</v>
      </c>
      <c r="H146" s="113">
        <f>H149+H151</f>
        <v>3303.8620000000001</v>
      </c>
      <c r="I146" s="113">
        <f>I149+I151</f>
        <v>3611.4430000000002</v>
      </c>
      <c r="J146" s="88">
        <f>SUM(J149+J151)</f>
        <v>0</v>
      </c>
      <c r="K146" s="90">
        <f>G146/C146</f>
        <v>0.96533544660115711</v>
      </c>
      <c r="L146" s="102"/>
      <c r="N146" s="234"/>
      <c r="O146" s="234"/>
      <c r="P146" s="234"/>
      <c r="Q146" s="234"/>
      <c r="R146" s="234"/>
      <c r="S146" s="234"/>
      <c r="T146" s="234"/>
    </row>
    <row r="147" spans="1:20" s="2" customFormat="1" ht="19.5" customHeight="1" x14ac:dyDescent="0.25">
      <c r="A147" s="85"/>
      <c r="B147" s="217" t="s">
        <v>185</v>
      </c>
      <c r="C147" s="217"/>
      <c r="D147" s="217"/>
      <c r="E147" s="217"/>
      <c r="F147" s="217"/>
      <c r="G147" s="217"/>
      <c r="H147" s="217"/>
      <c r="I147" s="217"/>
      <c r="J147" s="217"/>
      <c r="K147" s="217"/>
      <c r="L147" s="102"/>
      <c r="N147" s="234"/>
      <c r="O147" s="234"/>
      <c r="P147" s="234"/>
      <c r="Q147" s="234"/>
      <c r="R147" s="234"/>
      <c r="S147" s="234"/>
      <c r="T147" s="234"/>
    </row>
    <row r="148" spans="1:20" s="2" customFormat="1" ht="20.45" customHeight="1" x14ac:dyDescent="0.25">
      <c r="A148" s="85"/>
      <c r="B148" s="217" t="s">
        <v>186</v>
      </c>
      <c r="C148" s="217"/>
      <c r="D148" s="217"/>
      <c r="E148" s="217"/>
      <c r="F148" s="217"/>
      <c r="G148" s="217"/>
      <c r="H148" s="217"/>
      <c r="I148" s="217"/>
      <c r="J148" s="217"/>
      <c r="K148" s="217"/>
      <c r="L148" s="102"/>
      <c r="N148" s="234"/>
      <c r="O148" s="234"/>
      <c r="P148" s="234"/>
      <c r="Q148" s="234"/>
      <c r="R148" s="234"/>
      <c r="S148" s="234"/>
      <c r="T148" s="234"/>
    </row>
    <row r="149" spans="1:20" s="2" customFormat="1" ht="51.75" customHeight="1" x14ac:dyDescent="0.25">
      <c r="A149" s="85"/>
      <c r="B149" s="92" t="s">
        <v>187</v>
      </c>
      <c r="C149" s="93">
        <f>D149+E149</f>
        <v>6271.67</v>
      </c>
      <c r="D149" s="94">
        <v>2422.17</v>
      </c>
      <c r="E149" s="95">
        <f>2867.2+352.3+630</f>
        <v>3849.5</v>
      </c>
      <c r="F149" s="94">
        <v>0</v>
      </c>
      <c r="G149" s="93">
        <f>I149+H149</f>
        <v>6023.3459999999995</v>
      </c>
      <c r="H149" s="257">
        <v>2411.9029999999998</v>
      </c>
      <c r="I149" s="95">
        <f>630+2649.043+332.4</f>
        <v>3611.4430000000002</v>
      </c>
      <c r="J149" s="94">
        <v>0</v>
      </c>
      <c r="K149" s="96">
        <f>G149/C149</f>
        <v>0.96040544225062852</v>
      </c>
      <c r="L149" s="102"/>
      <c r="N149" s="248"/>
      <c r="O149" s="234"/>
      <c r="P149" s="234"/>
      <c r="Q149" s="234"/>
      <c r="R149" s="234"/>
      <c r="S149" s="234"/>
      <c r="T149" s="234"/>
    </row>
    <row r="150" spans="1:20" s="2" customFormat="1" ht="15.75" customHeight="1" x14ac:dyDescent="0.25">
      <c r="A150" s="97"/>
      <c r="B150" s="215" t="s">
        <v>188</v>
      </c>
      <c r="C150" s="215"/>
      <c r="D150" s="215"/>
      <c r="E150" s="215"/>
      <c r="F150" s="215"/>
      <c r="G150" s="215"/>
      <c r="H150" s="215"/>
      <c r="I150" s="215"/>
      <c r="J150" s="215"/>
      <c r="K150" s="215"/>
      <c r="L150" s="98"/>
      <c r="N150" s="234"/>
      <c r="O150" s="234"/>
      <c r="P150" s="234"/>
      <c r="Q150" s="234"/>
      <c r="R150" s="234"/>
      <c r="S150" s="234"/>
      <c r="T150" s="234"/>
    </row>
    <row r="151" spans="1:20" s="2" customFormat="1" ht="50.25" customHeight="1" x14ac:dyDescent="0.25">
      <c r="A151" s="85"/>
      <c r="B151" s="92" t="s">
        <v>189</v>
      </c>
      <c r="C151" s="93">
        <f>D151+E151+F151</f>
        <v>891.95900000000006</v>
      </c>
      <c r="D151" s="94">
        <f>864.172+27.787</f>
        <v>891.95900000000006</v>
      </c>
      <c r="E151" s="95">
        <v>0</v>
      </c>
      <c r="F151" s="94">
        <v>0</v>
      </c>
      <c r="G151" s="93">
        <f>SUM(H151:J151)</f>
        <v>891.95900000000006</v>
      </c>
      <c r="H151" s="257">
        <f>864.172+27.787</f>
        <v>891.95900000000006</v>
      </c>
      <c r="I151" s="95">
        <v>0</v>
      </c>
      <c r="J151" s="94">
        <v>0</v>
      </c>
      <c r="K151" s="96">
        <f>G151/C151</f>
        <v>1</v>
      </c>
      <c r="L151" s="91"/>
      <c r="N151" s="234"/>
      <c r="O151" s="234"/>
      <c r="P151" s="234"/>
      <c r="Q151" s="234"/>
      <c r="R151" s="234"/>
      <c r="S151" s="234"/>
      <c r="T151" s="234"/>
    </row>
    <row r="152" spans="1:20" s="127" customFormat="1" ht="115.5" customHeight="1" x14ac:dyDescent="0.2">
      <c r="A152" s="8" t="s">
        <v>190</v>
      </c>
      <c r="B152" s="9" t="s">
        <v>191</v>
      </c>
      <c r="C152" s="124">
        <f>SUM(C154+C166+C177+C189+C199+C209)</f>
        <v>356.4</v>
      </c>
      <c r="D152" s="124">
        <f>SUM(D154+D166+D177+D189+D199+D209)</f>
        <v>356.4</v>
      </c>
      <c r="E152" s="124">
        <f>SUM(E154+E166+E177+E189+E199+E209)</f>
        <v>0</v>
      </c>
      <c r="F152" s="124">
        <f>SUM(F154+F166+F177+F189)</f>
        <v>0</v>
      </c>
      <c r="G152" s="124">
        <f>SUM(G154+G166+G177+G189+G199+G209)</f>
        <v>353.68600000000004</v>
      </c>
      <c r="H152" s="124">
        <f>SUM(H154+H166+H177+H189+H199+H209)</f>
        <v>353.68600000000004</v>
      </c>
      <c r="I152" s="124">
        <f>SUM(I154+I166+I177+I189)</f>
        <v>0</v>
      </c>
      <c r="J152" s="124">
        <f>SUM(J154+J166+J177+J189)</f>
        <v>0</v>
      </c>
      <c r="K152" s="125">
        <f>G152/C152</f>
        <v>0.99238496071829418</v>
      </c>
      <c r="L152" s="126"/>
      <c r="N152" s="249"/>
      <c r="O152" s="249"/>
      <c r="P152" s="249"/>
      <c r="Q152" s="249"/>
      <c r="R152" s="249"/>
      <c r="S152" s="249"/>
      <c r="T152" s="249"/>
    </row>
    <row r="153" spans="1:20" s="128" customFormat="1" ht="15.95" customHeight="1" x14ac:dyDescent="0.25">
      <c r="A153" s="28" t="s">
        <v>192</v>
      </c>
      <c r="B153" s="203" t="s">
        <v>193</v>
      </c>
      <c r="C153" s="203"/>
      <c r="D153" s="203"/>
      <c r="E153" s="203"/>
      <c r="F153" s="203"/>
      <c r="G153" s="203"/>
      <c r="H153" s="203"/>
      <c r="I153" s="203"/>
      <c r="J153" s="203"/>
      <c r="K153" s="203"/>
      <c r="L153" s="203"/>
      <c r="N153" s="250"/>
      <c r="O153" s="250"/>
      <c r="P153" s="250"/>
      <c r="Q153" s="250"/>
      <c r="R153" s="250"/>
      <c r="S153" s="250"/>
      <c r="T153" s="250"/>
    </row>
    <row r="154" spans="1:20" s="127" customFormat="1" ht="34.700000000000003" customHeight="1" x14ac:dyDescent="0.2">
      <c r="A154" s="129"/>
      <c r="B154" s="17" t="s">
        <v>194</v>
      </c>
      <c r="C154" s="70">
        <f>SUM(C157:C164)</f>
        <v>64.900000000000006</v>
      </c>
      <c r="D154" s="71">
        <f>D157+D158+D159+D161+D162+D164+D163</f>
        <v>64.900000000000006</v>
      </c>
      <c r="E154" s="71">
        <f>SUM(E157:E164)</f>
        <v>0</v>
      </c>
      <c r="F154" s="71">
        <f>SUM(F157:F164)</f>
        <v>0</v>
      </c>
      <c r="G154" s="70">
        <f>H154+I154+J154</f>
        <v>64.900000000000006</v>
      </c>
      <c r="H154" s="71">
        <f>H157+H158+H161+H162+H164+H163</f>
        <v>64.900000000000006</v>
      </c>
      <c r="I154" s="71">
        <f>SUM(I157:I164)</f>
        <v>0</v>
      </c>
      <c r="J154" s="71">
        <f>SUM(J157:J164)</f>
        <v>0</v>
      </c>
      <c r="K154" s="20">
        <f>G154/C154</f>
        <v>1</v>
      </c>
      <c r="L154" s="130"/>
      <c r="N154" s="249"/>
      <c r="O154" s="249"/>
      <c r="P154" s="249"/>
      <c r="Q154" s="249"/>
      <c r="R154" s="249"/>
      <c r="S154" s="249"/>
      <c r="T154" s="249"/>
    </row>
    <row r="155" spans="1:20" s="128" customFormat="1" ht="18" customHeight="1" x14ac:dyDescent="0.25">
      <c r="A155" s="131"/>
      <c r="B155" s="212" t="s">
        <v>195</v>
      </c>
      <c r="C155" s="212"/>
      <c r="D155" s="212"/>
      <c r="E155" s="212"/>
      <c r="F155" s="212"/>
      <c r="G155" s="212"/>
      <c r="H155" s="212"/>
      <c r="I155" s="212"/>
      <c r="J155" s="212"/>
      <c r="K155" s="212"/>
      <c r="L155" s="212"/>
      <c r="N155" s="250"/>
      <c r="O155" s="250"/>
      <c r="P155" s="250"/>
      <c r="Q155" s="250"/>
      <c r="R155" s="250"/>
      <c r="S155" s="250"/>
      <c r="T155" s="250"/>
    </row>
    <row r="156" spans="1:20" s="128" customFormat="1" ht="15.95" customHeight="1" x14ac:dyDescent="0.25">
      <c r="A156" s="131"/>
      <c r="B156" s="212" t="s">
        <v>196</v>
      </c>
      <c r="C156" s="212"/>
      <c r="D156" s="212"/>
      <c r="E156" s="212"/>
      <c r="F156" s="212"/>
      <c r="G156" s="212"/>
      <c r="H156" s="212"/>
      <c r="I156" s="212"/>
      <c r="J156" s="212"/>
      <c r="K156" s="212"/>
      <c r="L156" s="212"/>
      <c r="N156" s="250"/>
      <c r="O156" s="250"/>
      <c r="P156" s="250"/>
      <c r="Q156" s="250"/>
      <c r="R156" s="250"/>
      <c r="S156" s="250"/>
      <c r="T156" s="250"/>
    </row>
    <row r="157" spans="1:20" s="127" customFormat="1" ht="104.25" customHeight="1" x14ac:dyDescent="0.2">
      <c r="A157" s="129"/>
      <c r="B157" s="17" t="s">
        <v>197</v>
      </c>
      <c r="C157" s="132">
        <f>SUM(D157:F157)</f>
        <v>0</v>
      </c>
      <c r="D157" s="133">
        <v>0</v>
      </c>
      <c r="E157" s="133">
        <v>0</v>
      </c>
      <c r="F157" s="133">
        <v>0</v>
      </c>
      <c r="G157" s="132">
        <f>H157+I157+J157</f>
        <v>0</v>
      </c>
      <c r="H157" s="133">
        <v>0</v>
      </c>
      <c r="I157" s="133">
        <v>0</v>
      </c>
      <c r="J157" s="133">
        <v>0</v>
      </c>
      <c r="K157" s="20">
        <v>0</v>
      </c>
      <c r="L157" s="130"/>
      <c r="N157" s="249"/>
      <c r="O157" s="249"/>
      <c r="P157" s="249"/>
      <c r="Q157" s="249"/>
      <c r="R157" s="249"/>
      <c r="S157" s="249"/>
      <c r="T157" s="249"/>
    </row>
    <row r="158" spans="1:20" s="14" customFormat="1" ht="47.25" x14ac:dyDescent="0.2">
      <c r="A158" s="24"/>
      <c r="B158" s="134" t="s">
        <v>198</v>
      </c>
      <c r="C158" s="132">
        <f>SUM(D158:F158)</f>
        <v>0</v>
      </c>
      <c r="D158" s="133">
        <v>0</v>
      </c>
      <c r="E158" s="133">
        <v>0</v>
      </c>
      <c r="F158" s="133">
        <v>0</v>
      </c>
      <c r="G158" s="132">
        <f>SUM(H158:J158)</f>
        <v>0</v>
      </c>
      <c r="H158" s="133">
        <v>0</v>
      </c>
      <c r="I158" s="133">
        <v>0</v>
      </c>
      <c r="J158" s="133">
        <v>0</v>
      </c>
      <c r="K158" s="20">
        <v>0</v>
      </c>
      <c r="L158" s="25"/>
      <c r="N158" s="235"/>
      <c r="O158" s="235"/>
      <c r="P158" s="235"/>
      <c r="Q158" s="235"/>
      <c r="R158" s="235"/>
      <c r="S158" s="235"/>
      <c r="T158" s="235"/>
    </row>
    <row r="159" spans="1:20" s="14" customFormat="1" ht="63" x14ac:dyDescent="0.2">
      <c r="A159" s="24"/>
      <c r="B159" s="17" t="s">
        <v>199</v>
      </c>
      <c r="C159" s="132">
        <f>SUM(D159:F159)</f>
        <v>0</v>
      </c>
      <c r="D159" s="133">
        <v>0</v>
      </c>
      <c r="E159" s="133">
        <v>0</v>
      </c>
      <c r="F159" s="133">
        <v>0</v>
      </c>
      <c r="G159" s="132">
        <f>SUM(H159:J159)</f>
        <v>0</v>
      </c>
      <c r="H159" s="133">
        <v>0</v>
      </c>
      <c r="I159" s="133">
        <v>0</v>
      </c>
      <c r="J159" s="133">
        <v>0</v>
      </c>
      <c r="K159" s="20">
        <v>0</v>
      </c>
      <c r="L159" s="25"/>
      <c r="N159" s="235"/>
      <c r="O159" s="235"/>
      <c r="P159" s="235"/>
      <c r="Q159" s="235"/>
      <c r="R159" s="235"/>
      <c r="S159" s="235"/>
      <c r="T159" s="235"/>
    </row>
    <row r="160" spans="1:20" s="128" customFormat="1" ht="15.95" customHeight="1" x14ac:dyDescent="0.25">
      <c r="A160" s="131"/>
      <c r="B160" s="212" t="s">
        <v>200</v>
      </c>
      <c r="C160" s="212"/>
      <c r="D160" s="212"/>
      <c r="E160" s="212"/>
      <c r="F160" s="212"/>
      <c r="G160" s="212"/>
      <c r="H160" s="212"/>
      <c r="I160" s="212"/>
      <c r="J160" s="212"/>
      <c r="K160" s="212"/>
      <c r="L160" s="212"/>
      <c r="N160" s="250"/>
      <c r="O160" s="250"/>
      <c r="P160" s="250"/>
      <c r="Q160" s="250"/>
      <c r="R160" s="250"/>
      <c r="S160" s="250"/>
      <c r="T160" s="250"/>
    </row>
    <row r="161" spans="1:20" s="14" customFormat="1" ht="88.5" customHeight="1" x14ac:dyDescent="0.2">
      <c r="A161" s="24"/>
      <c r="B161" s="17" t="s">
        <v>201</v>
      </c>
      <c r="C161" s="132">
        <f>SUM(D161:F161)</f>
        <v>21</v>
      </c>
      <c r="D161" s="133">
        <v>21</v>
      </c>
      <c r="E161" s="133">
        <v>0</v>
      </c>
      <c r="F161" s="133">
        <v>0</v>
      </c>
      <c r="G161" s="132">
        <f>SUM(H161:J161)</f>
        <v>21</v>
      </c>
      <c r="H161" s="133">
        <v>21</v>
      </c>
      <c r="I161" s="133">
        <v>0</v>
      </c>
      <c r="J161" s="133">
        <v>0</v>
      </c>
      <c r="K161" s="20">
        <f>G161/C161</f>
        <v>1</v>
      </c>
      <c r="L161" s="25"/>
      <c r="N161" s="235"/>
      <c r="O161" s="235"/>
      <c r="P161" s="235"/>
      <c r="Q161" s="235"/>
      <c r="R161" s="235"/>
      <c r="S161" s="235"/>
      <c r="T161" s="235"/>
    </row>
    <row r="162" spans="1:20" s="14" customFormat="1" ht="51" customHeight="1" x14ac:dyDescent="0.2">
      <c r="A162" s="24"/>
      <c r="B162" s="17" t="s">
        <v>202</v>
      </c>
      <c r="C162" s="132">
        <f>SUM(D162:F162)</f>
        <v>12</v>
      </c>
      <c r="D162" s="133">
        <v>12</v>
      </c>
      <c r="E162" s="133">
        <v>0</v>
      </c>
      <c r="F162" s="133">
        <v>0</v>
      </c>
      <c r="G162" s="132">
        <f>SUM(H162:J162)</f>
        <v>12</v>
      </c>
      <c r="H162" s="133">
        <v>12</v>
      </c>
      <c r="I162" s="133">
        <v>0</v>
      </c>
      <c r="J162" s="133">
        <v>0</v>
      </c>
      <c r="K162" s="20">
        <f>G162/C162</f>
        <v>1</v>
      </c>
      <c r="L162" s="25"/>
      <c r="N162" s="235"/>
      <c r="O162" s="235"/>
      <c r="P162" s="235"/>
      <c r="Q162" s="235"/>
      <c r="R162" s="235"/>
      <c r="S162" s="235"/>
      <c r="T162" s="235"/>
    </row>
    <row r="163" spans="1:20" s="14" customFormat="1" ht="50.25" customHeight="1" x14ac:dyDescent="0.2">
      <c r="A163" s="24"/>
      <c r="B163" s="17" t="s">
        <v>203</v>
      </c>
      <c r="C163" s="132">
        <f>SUM(D163:F163)</f>
        <v>12</v>
      </c>
      <c r="D163" s="133">
        <v>12</v>
      </c>
      <c r="E163" s="133">
        <v>0</v>
      </c>
      <c r="F163" s="133">
        <v>0</v>
      </c>
      <c r="G163" s="132">
        <f>SUM(H163:J163)</f>
        <v>12</v>
      </c>
      <c r="H163" s="133">
        <v>12</v>
      </c>
      <c r="I163" s="133">
        <v>0</v>
      </c>
      <c r="J163" s="133">
        <v>0</v>
      </c>
      <c r="K163" s="20">
        <f>G163/C163</f>
        <v>1</v>
      </c>
      <c r="L163" s="25"/>
      <c r="N163" s="235"/>
      <c r="O163" s="235"/>
      <c r="P163" s="235"/>
      <c r="Q163" s="235"/>
      <c r="R163" s="235"/>
      <c r="S163" s="235"/>
      <c r="T163" s="235"/>
    </row>
    <row r="164" spans="1:20" s="14" customFormat="1" ht="63" x14ac:dyDescent="0.2">
      <c r="A164" s="24"/>
      <c r="B164" s="17" t="s">
        <v>204</v>
      </c>
      <c r="C164" s="132">
        <v>19.899999999999999</v>
      </c>
      <c r="D164" s="133">
        <v>19.899999999999999</v>
      </c>
      <c r="E164" s="133">
        <v>0</v>
      </c>
      <c r="F164" s="133">
        <v>0</v>
      </c>
      <c r="G164" s="132">
        <v>19.899999999999999</v>
      </c>
      <c r="H164" s="133">
        <v>19.899999999999999</v>
      </c>
      <c r="I164" s="133">
        <v>0</v>
      </c>
      <c r="J164" s="133">
        <v>0</v>
      </c>
      <c r="K164" s="20">
        <f>G164/C164</f>
        <v>1</v>
      </c>
      <c r="L164" s="25"/>
      <c r="N164" s="235"/>
      <c r="O164" s="235"/>
      <c r="P164" s="235"/>
      <c r="Q164" s="235"/>
      <c r="R164" s="235"/>
      <c r="S164" s="235"/>
      <c r="T164" s="235"/>
    </row>
    <row r="165" spans="1:20" s="2" customFormat="1" ht="15.75" customHeight="1" x14ac:dyDescent="0.25">
      <c r="A165" s="28" t="s">
        <v>205</v>
      </c>
      <c r="B165" s="203" t="s">
        <v>206</v>
      </c>
      <c r="C165" s="203"/>
      <c r="D165" s="203"/>
      <c r="E165" s="203"/>
      <c r="F165" s="203"/>
      <c r="G165" s="203"/>
      <c r="H165" s="203"/>
      <c r="I165" s="203"/>
      <c r="J165" s="203"/>
      <c r="K165" s="203"/>
      <c r="L165" s="203"/>
      <c r="N165" s="234"/>
      <c r="O165" s="246"/>
      <c r="P165" s="234"/>
      <c r="Q165" s="234"/>
      <c r="R165" s="234"/>
      <c r="S165" s="234"/>
      <c r="T165" s="234"/>
    </row>
    <row r="166" spans="1:20" s="14" customFormat="1" ht="32.25" customHeight="1" x14ac:dyDescent="0.2">
      <c r="A166" s="24"/>
      <c r="B166" s="17" t="s">
        <v>207</v>
      </c>
      <c r="C166" s="70">
        <f>D166+E166+F166</f>
        <v>26</v>
      </c>
      <c r="D166" s="71">
        <f>D169+D170+D171+D172+D174+D175</f>
        <v>26</v>
      </c>
      <c r="E166" s="71">
        <f>SUM(E169:E175)</f>
        <v>0</v>
      </c>
      <c r="F166" s="71">
        <f>SUM(F169:F175)</f>
        <v>0</v>
      </c>
      <c r="G166" s="70">
        <f>H166+I166+J166</f>
        <v>26</v>
      </c>
      <c r="H166" s="71">
        <f>H169+H170+H171+H172+H174+H175</f>
        <v>26</v>
      </c>
      <c r="I166" s="71">
        <f>SUM(I169:I175)</f>
        <v>0</v>
      </c>
      <c r="J166" s="71">
        <f>SUM(J169:J175)</f>
        <v>0</v>
      </c>
      <c r="K166" s="20">
        <f>G166/C166</f>
        <v>1</v>
      </c>
      <c r="L166" s="25"/>
      <c r="N166" s="235"/>
      <c r="O166" s="235"/>
      <c r="P166" s="235"/>
      <c r="Q166" s="235"/>
      <c r="R166" s="235"/>
      <c r="S166" s="235"/>
      <c r="T166" s="235"/>
    </row>
    <row r="167" spans="1:20" s="2" customFormat="1" ht="17.25" customHeight="1" x14ac:dyDescent="0.25">
      <c r="A167" s="23"/>
      <c r="B167" s="212" t="s">
        <v>208</v>
      </c>
      <c r="C167" s="212"/>
      <c r="D167" s="212"/>
      <c r="E167" s="212"/>
      <c r="F167" s="212"/>
      <c r="G167" s="212"/>
      <c r="H167" s="212"/>
      <c r="I167" s="212"/>
      <c r="J167" s="212"/>
      <c r="K167" s="212"/>
      <c r="L167" s="212"/>
      <c r="N167" s="234"/>
      <c r="O167" s="234"/>
      <c r="P167" s="234"/>
      <c r="Q167" s="234"/>
      <c r="R167" s="234"/>
      <c r="S167" s="234"/>
      <c r="T167" s="234"/>
    </row>
    <row r="168" spans="1:20" s="2" customFormat="1" ht="15.75" customHeight="1" x14ac:dyDescent="0.25">
      <c r="A168" s="23"/>
      <c r="B168" s="212" t="s">
        <v>209</v>
      </c>
      <c r="C168" s="212"/>
      <c r="D168" s="212"/>
      <c r="E168" s="212"/>
      <c r="F168" s="212"/>
      <c r="G168" s="212"/>
      <c r="H168" s="212"/>
      <c r="I168" s="212"/>
      <c r="J168" s="212"/>
      <c r="K168" s="212"/>
      <c r="L168" s="212"/>
      <c r="N168" s="234"/>
      <c r="O168" s="234"/>
      <c r="P168" s="234"/>
      <c r="Q168" s="234"/>
      <c r="R168" s="234"/>
      <c r="S168" s="234"/>
      <c r="T168" s="234"/>
    </row>
    <row r="169" spans="1:20" s="14" customFormat="1" ht="102.75" customHeight="1" x14ac:dyDescent="0.2">
      <c r="A169" s="24"/>
      <c r="B169" s="17" t="s">
        <v>210</v>
      </c>
      <c r="C169" s="70">
        <f>SUM(D169:F169)</f>
        <v>0</v>
      </c>
      <c r="D169" s="71">
        <v>0</v>
      </c>
      <c r="E169" s="71">
        <v>0</v>
      </c>
      <c r="F169" s="71">
        <v>0</v>
      </c>
      <c r="G169" s="70">
        <f>SUM(H169:J169)</f>
        <v>0</v>
      </c>
      <c r="H169" s="71">
        <v>0</v>
      </c>
      <c r="I169" s="71">
        <v>0</v>
      </c>
      <c r="J169" s="71">
        <v>0</v>
      </c>
      <c r="K169" s="20">
        <v>0</v>
      </c>
      <c r="L169" s="33"/>
      <c r="N169" s="235"/>
      <c r="O169" s="235"/>
      <c r="P169" s="235"/>
      <c r="Q169" s="235"/>
      <c r="R169" s="235"/>
      <c r="S169" s="235"/>
      <c r="T169" s="235"/>
    </row>
    <row r="170" spans="1:20" s="14" customFormat="1" ht="41.25" customHeight="1" x14ac:dyDescent="0.2">
      <c r="A170" s="24"/>
      <c r="B170" s="17" t="s">
        <v>198</v>
      </c>
      <c r="C170" s="70">
        <f>SUM(D170:F170)</f>
        <v>0</v>
      </c>
      <c r="D170" s="71">
        <v>0</v>
      </c>
      <c r="E170" s="71">
        <v>0</v>
      </c>
      <c r="F170" s="71">
        <v>0</v>
      </c>
      <c r="G170" s="70">
        <f>SUM(H170:J170)</f>
        <v>0</v>
      </c>
      <c r="H170" s="71">
        <v>0</v>
      </c>
      <c r="I170" s="71">
        <v>0</v>
      </c>
      <c r="J170" s="71">
        <v>0</v>
      </c>
      <c r="K170" s="20">
        <v>0</v>
      </c>
      <c r="L170" s="33"/>
      <c r="N170" s="235"/>
      <c r="O170" s="235"/>
      <c r="P170" s="235"/>
      <c r="Q170" s="235"/>
      <c r="R170" s="235"/>
      <c r="S170" s="235"/>
      <c r="T170" s="235"/>
    </row>
    <row r="171" spans="1:20" s="14" customFormat="1" ht="66.75" customHeight="1" x14ac:dyDescent="0.2">
      <c r="A171" s="24"/>
      <c r="B171" s="17" t="s">
        <v>211</v>
      </c>
      <c r="C171" s="70">
        <f>SUM(D171:F171)</f>
        <v>0</v>
      </c>
      <c r="D171" s="71">
        <v>0</v>
      </c>
      <c r="E171" s="71">
        <v>0</v>
      </c>
      <c r="F171" s="71">
        <v>0</v>
      </c>
      <c r="G171" s="70">
        <f>SUM(H171:J171)</f>
        <v>0</v>
      </c>
      <c r="H171" s="71">
        <v>0</v>
      </c>
      <c r="I171" s="71">
        <v>0</v>
      </c>
      <c r="J171" s="71">
        <v>0</v>
      </c>
      <c r="K171" s="20">
        <v>0</v>
      </c>
      <c r="L171" s="64"/>
      <c r="N171" s="235"/>
      <c r="O171" s="235"/>
      <c r="P171" s="235"/>
      <c r="Q171" s="235"/>
      <c r="R171" s="235"/>
      <c r="S171" s="235"/>
      <c r="T171" s="235"/>
    </row>
    <row r="172" spans="1:20" s="14" customFormat="1" ht="68.25" customHeight="1" x14ac:dyDescent="0.2">
      <c r="A172" s="24"/>
      <c r="B172" s="17" t="s">
        <v>212</v>
      </c>
      <c r="C172" s="70">
        <f>SUM(D172:F172)</f>
        <v>0</v>
      </c>
      <c r="D172" s="31">
        <v>0</v>
      </c>
      <c r="E172" s="31">
        <v>0</v>
      </c>
      <c r="F172" s="31">
        <v>0</v>
      </c>
      <c r="G172" s="70">
        <f>SUM(H172:J172)</f>
        <v>0</v>
      </c>
      <c r="H172" s="71">
        <v>0</v>
      </c>
      <c r="I172" s="31">
        <v>0</v>
      </c>
      <c r="J172" s="31">
        <v>0</v>
      </c>
      <c r="K172" s="20">
        <v>0</v>
      </c>
      <c r="L172" s="136"/>
      <c r="N172" s="235"/>
      <c r="O172" s="235"/>
      <c r="P172" s="235"/>
      <c r="Q172" s="235"/>
      <c r="R172" s="235"/>
      <c r="S172" s="235"/>
      <c r="T172" s="235"/>
    </row>
    <row r="173" spans="1:20" s="2" customFormat="1" ht="15.75" customHeight="1" x14ac:dyDescent="0.25">
      <c r="A173" s="23"/>
      <c r="B173" s="212" t="s">
        <v>213</v>
      </c>
      <c r="C173" s="212"/>
      <c r="D173" s="212"/>
      <c r="E173" s="212"/>
      <c r="F173" s="212"/>
      <c r="G173" s="212"/>
      <c r="H173" s="212"/>
      <c r="I173" s="212"/>
      <c r="J173" s="212"/>
      <c r="K173" s="212"/>
      <c r="L173" s="212"/>
      <c r="N173" s="234"/>
      <c r="O173" s="234"/>
      <c r="P173" s="234"/>
      <c r="Q173" s="234"/>
      <c r="R173" s="234"/>
      <c r="S173" s="234"/>
      <c r="T173" s="234"/>
    </row>
    <row r="174" spans="1:20" s="14" customFormat="1" ht="85.5" customHeight="1" x14ac:dyDescent="0.2">
      <c r="A174" s="24"/>
      <c r="B174" s="17" t="s">
        <v>214</v>
      </c>
      <c r="C174" s="70">
        <f>SUM(D174:F174)</f>
        <v>17</v>
      </c>
      <c r="D174" s="31">
        <v>17</v>
      </c>
      <c r="E174" s="31">
        <v>0</v>
      </c>
      <c r="F174" s="31">
        <v>0</v>
      </c>
      <c r="G174" s="70">
        <f>SUM(H174:J174)</f>
        <v>17</v>
      </c>
      <c r="H174" s="71">
        <v>17</v>
      </c>
      <c r="I174" s="31">
        <v>0</v>
      </c>
      <c r="J174" s="31">
        <v>0</v>
      </c>
      <c r="K174" s="20">
        <f>G174/C174</f>
        <v>1</v>
      </c>
      <c r="L174" s="136"/>
      <c r="N174" s="235"/>
      <c r="O174" s="235"/>
      <c r="P174" s="235"/>
      <c r="Q174" s="235"/>
      <c r="R174" s="235"/>
      <c r="S174" s="235"/>
      <c r="T174" s="235"/>
    </row>
    <row r="175" spans="1:20" s="14" customFormat="1" ht="68.25" customHeight="1" x14ac:dyDescent="0.2">
      <c r="A175" s="24"/>
      <c r="B175" s="17" t="s">
        <v>215</v>
      </c>
      <c r="C175" s="70">
        <f>SUM(D175:F175)</f>
        <v>9</v>
      </c>
      <c r="D175" s="31">
        <v>9</v>
      </c>
      <c r="E175" s="31">
        <v>0</v>
      </c>
      <c r="F175" s="31">
        <v>0</v>
      </c>
      <c r="G175" s="70">
        <f>SUM(H175:J175)</f>
        <v>9</v>
      </c>
      <c r="H175" s="71">
        <v>9</v>
      </c>
      <c r="I175" s="31">
        <v>0</v>
      </c>
      <c r="J175" s="31">
        <v>0</v>
      </c>
      <c r="K175" s="20">
        <f>G175/C175</f>
        <v>1</v>
      </c>
      <c r="L175" s="136"/>
      <c r="N175" s="235"/>
      <c r="O175" s="235"/>
      <c r="P175" s="235"/>
      <c r="Q175" s="235"/>
      <c r="R175" s="235"/>
      <c r="S175" s="235"/>
      <c r="T175" s="235"/>
    </row>
    <row r="176" spans="1:20" s="2" customFormat="1" x14ac:dyDescent="0.25">
      <c r="A176" s="28" t="s">
        <v>216</v>
      </c>
      <c r="B176" s="208" t="s">
        <v>217</v>
      </c>
      <c r="C176" s="208"/>
      <c r="D176" s="208"/>
      <c r="E176" s="208"/>
      <c r="F176" s="208"/>
      <c r="G176" s="208"/>
      <c r="H176" s="208"/>
      <c r="I176" s="208"/>
      <c r="J176" s="208"/>
      <c r="K176" s="208"/>
      <c r="L176" s="208"/>
      <c r="N176" s="234"/>
      <c r="O176" s="234"/>
      <c r="P176" s="234"/>
      <c r="Q176" s="234"/>
      <c r="R176" s="234"/>
      <c r="S176" s="234"/>
      <c r="T176" s="234"/>
    </row>
    <row r="177" spans="1:26" s="14" customFormat="1" ht="66" customHeight="1" x14ac:dyDescent="0.2">
      <c r="A177" s="24"/>
      <c r="B177" s="17" t="s">
        <v>218</v>
      </c>
      <c r="C177" s="30">
        <f>D177+E177+F177</f>
        <v>37</v>
      </c>
      <c r="D177" s="31">
        <f>SUM(D180:D187)</f>
        <v>37</v>
      </c>
      <c r="E177" s="31">
        <f>SUM(E180:E187)</f>
        <v>0</v>
      </c>
      <c r="F177" s="31">
        <f>SUM(F180:F187)</f>
        <v>0</v>
      </c>
      <c r="G177" s="30">
        <f>H177+I177+J177</f>
        <v>37</v>
      </c>
      <c r="H177" s="31">
        <f>H180+H181+H183+H184+H185+H186+H187</f>
        <v>37</v>
      </c>
      <c r="I177" s="31">
        <f>SUM(I180:I187)</f>
        <v>0</v>
      </c>
      <c r="J177" s="31">
        <f>SUM(J180:J187)</f>
        <v>0</v>
      </c>
      <c r="K177" s="20">
        <f>G177/C177</f>
        <v>1</v>
      </c>
      <c r="L177" s="136"/>
      <c r="N177" s="235"/>
      <c r="O177" s="235"/>
      <c r="P177" s="235"/>
      <c r="Q177" s="235"/>
      <c r="R177" s="235"/>
      <c r="S177" s="235"/>
      <c r="T177" s="235"/>
    </row>
    <row r="178" spans="1:26" s="2" customFormat="1" ht="21.75" customHeight="1" x14ac:dyDescent="0.25">
      <c r="A178" s="23"/>
      <c r="B178" s="202" t="s">
        <v>219</v>
      </c>
      <c r="C178" s="202"/>
      <c r="D178" s="202"/>
      <c r="E178" s="202"/>
      <c r="F178" s="202"/>
      <c r="G178" s="202"/>
      <c r="H178" s="202"/>
      <c r="I178" s="202"/>
      <c r="J178" s="202"/>
      <c r="K178" s="202"/>
      <c r="L178" s="202"/>
      <c r="N178" s="234"/>
      <c r="O178" s="234"/>
      <c r="P178" s="234"/>
      <c r="Q178" s="234"/>
      <c r="R178" s="234"/>
      <c r="S178" s="234"/>
      <c r="T178" s="234"/>
    </row>
    <row r="179" spans="1:26" s="2" customFormat="1" ht="34.700000000000003" customHeight="1" x14ac:dyDescent="0.25">
      <c r="A179" s="23"/>
      <c r="B179" s="212" t="s">
        <v>220</v>
      </c>
      <c r="C179" s="212"/>
      <c r="D179" s="212"/>
      <c r="E179" s="212"/>
      <c r="F179" s="212"/>
      <c r="G179" s="212"/>
      <c r="H179" s="212"/>
      <c r="I179" s="212"/>
      <c r="J179" s="212"/>
      <c r="K179" s="212"/>
      <c r="L179" s="212"/>
      <c r="N179" s="234"/>
      <c r="O179" s="234"/>
      <c r="P179" s="234"/>
      <c r="Q179" s="234"/>
      <c r="R179" s="234"/>
      <c r="S179" s="234"/>
      <c r="T179" s="234"/>
    </row>
    <row r="180" spans="1:26" s="14" customFormat="1" ht="55.5" customHeight="1" x14ac:dyDescent="0.2">
      <c r="A180" s="24"/>
      <c r="B180" s="17" t="s">
        <v>221</v>
      </c>
      <c r="C180" s="30">
        <f>SUM(D180:F180)</f>
        <v>0</v>
      </c>
      <c r="D180" s="31">
        <v>0</v>
      </c>
      <c r="E180" s="31">
        <v>0</v>
      </c>
      <c r="F180" s="31">
        <v>0</v>
      </c>
      <c r="G180" s="30">
        <f>SUM(H180:J180)</f>
        <v>0</v>
      </c>
      <c r="H180" s="31">
        <v>0</v>
      </c>
      <c r="I180" s="31">
        <v>0</v>
      </c>
      <c r="J180" s="31">
        <v>0</v>
      </c>
      <c r="K180" s="72">
        <v>0</v>
      </c>
      <c r="L180" s="24"/>
      <c r="N180" s="235"/>
      <c r="O180" s="235"/>
      <c r="P180" s="235"/>
      <c r="Q180" s="235"/>
      <c r="R180" s="235"/>
      <c r="S180" s="235"/>
      <c r="T180" s="235"/>
    </row>
    <row r="181" spans="1:26" s="14" customFormat="1" ht="63" customHeight="1" x14ac:dyDescent="0.2">
      <c r="A181" s="24"/>
      <c r="B181" s="17" t="s">
        <v>222</v>
      </c>
      <c r="C181" s="30">
        <f>SUM(D181:F181)</f>
        <v>0</v>
      </c>
      <c r="D181" s="31">
        <v>0</v>
      </c>
      <c r="E181" s="31">
        <v>0</v>
      </c>
      <c r="F181" s="31">
        <v>0</v>
      </c>
      <c r="G181" s="30">
        <f>SUM(H181:J181)</f>
        <v>0</v>
      </c>
      <c r="H181" s="31">
        <v>0</v>
      </c>
      <c r="I181" s="31">
        <v>0</v>
      </c>
      <c r="J181" s="31">
        <v>0</v>
      </c>
      <c r="K181" s="72">
        <v>0</v>
      </c>
      <c r="L181" s="24"/>
      <c r="N181" s="235"/>
      <c r="O181" s="235"/>
      <c r="P181" s="235"/>
      <c r="Q181" s="235"/>
      <c r="R181" s="235"/>
      <c r="S181" s="235"/>
      <c r="T181" s="235"/>
    </row>
    <row r="182" spans="1:26" ht="15" customHeight="1" x14ac:dyDescent="0.25">
      <c r="A182" s="137"/>
      <c r="B182" s="214" t="s">
        <v>223</v>
      </c>
      <c r="C182" s="214"/>
      <c r="D182" s="214"/>
      <c r="E182" s="214"/>
      <c r="F182" s="214"/>
      <c r="G182" s="214"/>
      <c r="H182" s="214"/>
      <c r="I182" s="214"/>
      <c r="J182" s="214"/>
      <c r="K182" s="214"/>
      <c r="L182" s="214"/>
      <c r="M182" s="138"/>
      <c r="N182" s="251"/>
      <c r="O182" s="252"/>
      <c r="P182" s="253"/>
      <c r="Q182" s="253"/>
      <c r="R182" s="253"/>
      <c r="S182" s="253"/>
      <c r="T182" s="253"/>
      <c r="U182" s="140"/>
      <c r="V182" s="140"/>
      <c r="W182" s="140"/>
      <c r="X182" s="140"/>
      <c r="Y182" s="140"/>
      <c r="Z182" s="140"/>
    </row>
    <row r="183" spans="1:26" s="14" customFormat="1" ht="66.75" customHeight="1" x14ac:dyDescent="0.2">
      <c r="A183" s="24"/>
      <c r="B183" s="17" t="s">
        <v>224</v>
      </c>
      <c r="C183" s="30">
        <f>SUM(D183:F183)</f>
        <v>8</v>
      </c>
      <c r="D183" s="31">
        <v>8</v>
      </c>
      <c r="E183" s="31">
        <v>0</v>
      </c>
      <c r="F183" s="31">
        <v>0</v>
      </c>
      <c r="G183" s="30">
        <f>SUM(H183:J183)</f>
        <v>8</v>
      </c>
      <c r="H183" s="31">
        <v>8</v>
      </c>
      <c r="I183" s="31">
        <v>0</v>
      </c>
      <c r="J183" s="31">
        <v>0</v>
      </c>
      <c r="K183" s="72">
        <f>G183/C183</f>
        <v>1</v>
      </c>
      <c r="L183" s="24"/>
      <c r="N183" s="235"/>
      <c r="O183" s="235"/>
      <c r="P183" s="235"/>
      <c r="Q183" s="235"/>
      <c r="R183" s="235"/>
      <c r="S183" s="235"/>
      <c r="T183" s="235"/>
    </row>
    <row r="184" spans="1:26" s="14" customFormat="1" ht="67.5" customHeight="1" x14ac:dyDescent="0.2">
      <c r="A184" s="24"/>
      <c r="B184" s="17" t="s">
        <v>225</v>
      </c>
      <c r="C184" s="30">
        <f>SUM(D184:F184)</f>
        <v>5</v>
      </c>
      <c r="D184" s="31">
        <v>5</v>
      </c>
      <c r="E184" s="31">
        <v>0</v>
      </c>
      <c r="F184" s="31">
        <v>0</v>
      </c>
      <c r="G184" s="30">
        <f>SUM(H184:J184)</f>
        <v>5</v>
      </c>
      <c r="H184" s="31">
        <v>5</v>
      </c>
      <c r="I184" s="31">
        <v>0</v>
      </c>
      <c r="J184" s="31">
        <v>0</v>
      </c>
      <c r="K184" s="72">
        <f>G184/C184</f>
        <v>1</v>
      </c>
      <c r="L184" s="24"/>
      <c r="N184" s="235"/>
      <c r="O184" s="235"/>
      <c r="P184" s="235"/>
      <c r="Q184" s="235"/>
      <c r="R184" s="235"/>
      <c r="S184" s="235"/>
      <c r="T184" s="235"/>
    </row>
    <row r="185" spans="1:26" s="14" customFormat="1" ht="66.75" customHeight="1" x14ac:dyDescent="0.2">
      <c r="A185" s="24"/>
      <c r="B185" s="17" t="s">
        <v>226</v>
      </c>
      <c r="C185" s="30">
        <f>SUM(D185:F185)</f>
        <v>5</v>
      </c>
      <c r="D185" s="31">
        <v>5</v>
      </c>
      <c r="E185" s="31">
        <v>0</v>
      </c>
      <c r="F185" s="31">
        <v>0</v>
      </c>
      <c r="G185" s="30">
        <f>SUM(H185:J185)</f>
        <v>5</v>
      </c>
      <c r="H185" s="31">
        <v>5</v>
      </c>
      <c r="I185" s="31">
        <v>0</v>
      </c>
      <c r="J185" s="31">
        <v>0</v>
      </c>
      <c r="K185" s="72">
        <f>G185/C185</f>
        <v>1</v>
      </c>
      <c r="L185" s="24"/>
      <c r="N185" s="235"/>
      <c r="O185" s="235"/>
      <c r="P185" s="235"/>
      <c r="Q185" s="235"/>
      <c r="R185" s="235"/>
      <c r="S185" s="235"/>
      <c r="T185" s="235"/>
    </row>
    <row r="186" spans="1:26" s="14" customFormat="1" ht="54" customHeight="1" x14ac:dyDescent="0.2">
      <c r="A186" s="24"/>
      <c r="B186" s="17" t="s">
        <v>227</v>
      </c>
      <c r="C186" s="30">
        <f>SUM(D186:F186)</f>
        <v>2</v>
      </c>
      <c r="D186" s="31">
        <v>2</v>
      </c>
      <c r="E186" s="31">
        <v>0</v>
      </c>
      <c r="F186" s="31">
        <v>0</v>
      </c>
      <c r="G186" s="30">
        <f>SUM(H186:J186)</f>
        <v>2</v>
      </c>
      <c r="H186" s="31">
        <v>2</v>
      </c>
      <c r="I186" s="31">
        <v>0</v>
      </c>
      <c r="J186" s="31">
        <v>0</v>
      </c>
      <c r="K186" s="72">
        <f>G186/C186</f>
        <v>1</v>
      </c>
      <c r="L186" s="24"/>
      <c r="N186" s="235"/>
      <c r="O186" s="235"/>
      <c r="P186" s="235"/>
      <c r="Q186" s="235"/>
      <c r="R186" s="235"/>
      <c r="S186" s="235"/>
      <c r="T186" s="235"/>
    </row>
    <row r="187" spans="1:26" s="14" customFormat="1" ht="102.75" customHeight="1" x14ac:dyDescent="0.2">
      <c r="A187" s="24"/>
      <c r="B187" s="17" t="s">
        <v>228</v>
      </c>
      <c r="C187" s="30">
        <f>SUM(D187:F187)</f>
        <v>17</v>
      </c>
      <c r="D187" s="31">
        <v>17</v>
      </c>
      <c r="E187" s="31">
        <v>0</v>
      </c>
      <c r="F187" s="31">
        <v>0</v>
      </c>
      <c r="G187" s="30">
        <f>H187+I187+J187</f>
        <v>17</v>
      </c>
      <c r="H187" s="31">
        <v>17</v>
      </c>
      <c r="I187" s="31">
        <v>0</v>
      </c>
      <c r="J187" s="31">
        <v>0</v>
      </c>
      <c r="K187" s="72">
        <f>G187/C187</f>
        <v>1</v>
      </c>
      <c r="L187" s="24"/>
      <c r="N187" s="235"/>
      <c r="O187" s="235"/>
      <c r="P187" s="235"/>
      <c r="Q187" s="235"/>
      <c r="R187" s="235"/>
      <c r="S187" s="235"/>
      <c r="T187" s="235"/>
    </row>
    <row r="188" spans="1:26" s="2" customFormat="1" x14ac:dyDescent="0.25">
      <c r="A188" s="28" t="s">
        <v>229</v>
      </c>
      <c r="B188" s="208" t="s">
        <v>230</v>
      </c>
      <c r="C188" s="208"/>
      <c r="D188" s="208"/>
      <c r="E188" s="208"/>
      <c r="F188" s="208"/>
      <c r="G188" s="208"/>
      <c r="H188" s="208"/>
      <c r="I188" s="208"/>
      <c r="J188" s="208"/>
      <c r="K188" s="208"/>
      <c r="L188" s="208"/>
      <c r="N188" s="234"/>
      <c r="O188" s="234"/>
      <c r="P188" s="234"/>
      <c r="Q188" s="234"/>
      <c r="R188" s="234"/>
      <c r="S188" s="234"/>
      <c r="T188" s="234"/>
    </row>
    <row r="189" spans="1:26" s="14" customFormat="1" ht="59.25" customHeight="1" x14ac:dyDescent="0.2">
      <c r="A189" s="24"/>
      <c r="B189" s="17" t="s">
        <v>231</v>
      </c>
      <c r="C189" s="18">
        <f>D189+E189+F189</f>
        <v>31</v>
      </c>
      <c r="D189" s="19">
        <f>D192+D193+D195+D196+D197</f>
        <v>31</v>
      </c>
      <c r="E189" s="19">
        <v>0</v>
      </c>
      <c r="F189" s="19">
        <f>SUM(F192:F197)</f>
        <v>0</v>
      </c>
      <c r="G189" s="18">
        <f>H189+I189+J189</f>
        <v>31</v>
      </c>
      <c r="H189" s="19">
        <f>H192+H195+H196+H197</f>
        <v>31</v>
      </c>
      <c r="I189" s="19">
        <f>I192+I193+I195+I196+I197</f>
        <v>0</v>
      </c>
      <c r="J189" s="19">
        <f>J192+J193+J195+J196+J197</f>
        <v>0</v>
      </c>
      <c r="K189" s="20">
        <f>G189/C189</f>
        <v>1</v>
      </c>
      <c r="L189" s="141"/>
      <c r="N189" s="235"/>
      <c r="O189" s="235"/>
      <c r="P189" s="235"/>
      <c r="Q189" s="235"/>
      <c r="R189" s="235"/>
      <c r="S189" s="235"/>
      <c r="T189" s="235"/>
    </row>
    <row r="190" spans="1:26" s="2" customFormat="1" x14ac:dyDescent="0.25">
      <c r="A190" s="23"/>
      <c r="B190" s="202" t="s">
        <v>232</v>
      </c>
      <c r="C190" s="202"/>
      <c r="D190" s="202"/>
      <c r="E190" s="202"/>
      <c r="F190" s="202"/>
      <c r="G190" s="202"/>
      <c r="H190" s="202"/>
      <c r="I190" s="202"/>
      <c r="J190" s="202"/>
      <c r="K190" s="202"/>
      <c r="L190" s="202"/>
      <c r="N190" s="234"/>
      <c r="O190" s="234"/>
      <c r="P190" s="234"/>
      <c r="Q190" s="234"/>
      <c r="R190" s="234"/>
      <c r="S190" s="234"/>
      <c r="T190" s="234"/>
    </row>
    <row r="191" spans="1:26" s="2" customFormat="1" ht="36" customHeight="1" x14ac:dyDescent="0.25">
      <c r="A191" s="23"/>
      <c r="B191" s="212" t="s">
        <v>233</v>
      </c>
      <c r="C191" s="212"/>
      <c r="D191" s="212"/>
      <c r="E191" s="212"/>
      <c r="F191" s="212"/>
      <c r="G191" s="212"/>
      <c r="H191" s="212"/>
      <c r="I191" s="212"/>
      <c r="J191" s="212"/>
      <c r="K191" s="212"/>
      <c r="L191" s="212"/>
      <c r="N191" s="234"/>
      <c r="O191" s="234"/>
      <c r="P191" s="234"/>
      <c r="Q191" s="234"/>
      <c r="R191" s="234"/>
      <c r="S191" s="234"/>
      <c r="T191" s="234"/>
    </row>
    <row r="192" spans="1:26" s="14" customFormat="1" ht="49.5" customHeight="1" x14ac:dyDescent="0.2">
      <c r="A192" s="24"/>
      <c r="B192" s="17" t="s">
        <v>234</v>
      </c>
      <c r="C192" s="30">
        <f>SUM(D192:F192)</f>
        <v>0</v>
      </c>
      <c r="D192" s="31">
        <v>0</v>
      </c>
      <c r="E192" s="31">
        <v>0</v>
      </c>
      <c r="F192" s="31">
        <v>0</v>
      </c>
      <c r="G192" s="30">
        <f>SUM(H192:J192)</f>
        <v>0</v>
      </c>
      <c r="H192" s="31">
        <v>0</v>
      </c>
      <c r="I192" s="31">
        <v>0</v>
      </c>
      <c r="J192" s="31">
        <v>0</v>
      </c>
      <c r="K192" s="72">
        <v>0</v>
      </c>
      <c r="L192" s="24"/>
      <c r="N192" s="235"/>
      <c r="O192" s="235"/>
      <c r="P192" s="235"/>
      <c r="Q192" s="235"/>
      <c r="R192" s="235"/>
      <c r="S192" s="235"/>
      <c r="T192" s="235"/>
    </row>
    <row r="193" spans="1:20" s="14" customFormat="1" ht="57.75" customHeight="1" x14ac:dyDescent="0.2">
      <c r="A193" s="24"/>
      <c r="B193" s="17" t="s">
        <v>222</v>
      </c>
      <c r="C193" s="30">
        <f>SUM(D193:F193)</f>
        <v>0</v>
      </c>
      <c r="D193" s="31">
        <v>0</v>
      </c>
      <c r="E193" s="31">
        <v>0</v>
      </c>
      <c r="F193" s="31">
        <v>0</v>
      </c>
      <c r="G193" s="30">
        <f>SUM(H193:J193)</f>
        <v>0</v>
      </c>
      <c r="H193" s="31">
        <v>0</v>
      </c>
      <c r="I193" s="31">
        <v>0</v>
      </c>
      <c r="J193" s="31">
        <v>0</v>
      </c>
      <c r="K193" s="72">
        <v>0</v>
      </c>
      <c r="L193" s="24"/>
      <c r="N193" s="235"/>
      <c r="O193" s="235"/>
      <c r="P193" s="235"/>
      <c r="Q193" s="235"/>
      <c r="R193" s="235"/>
      <c r="S193" s="235"/>
      <c r="T193" s="235"/>
    </row>
    <row r="194" spans="1:20" s="14" customFormat="1" ht="27" customHeight="1" x14ac:dyDescent="0.2">
      <c r="A194" s="24"/>
      <c r="B194" s="209" t="s">
        <v>235</v>
      </c>
      <c r="C194" s="209"/>
      <c r="D194" s="209"/>
      <c r="E194" s="209"/>
      <c r="F194" s="209"/>
      <c r="G194" s="209"/>
      <c r="H194" s="209"/>
      <c r="I194" s="209"/>
      <c r="J194" s="209"/>
      <c r="K194" s="209"/>
      <c r="L194" s="209"/>
      <c r="N194" s="235"/>
      <c r="O194" s="235"/>
      <c r="P194" s="235"/>
      <c r="Q194" s="235"/>
      <c r="R194" s="235"/>
      <c r="S194" s="235"/>
      <c r="T194" s="235"/>
    </row>
    <row r="195" spans="1:20" s="14" customFormat="1" ht="72" customHeight="1" x14ac:dyDescent="0.2">
      <c r="A195" s="24"/>
      <c r="B195" s="17" t="s">
        <v>236</v>
      </c>
      <c r="C195" s="30">
        <f>SUM(D195:F195)</f>
        <v>12</v>
      </c>
      <c r="D195" s="31">
        <v>12</v>
      </c>
      <c r="E195" s="31">
        <v>0</v>
      </c>
      <c r="F195" s="31">
        <v>0</v>
      </c>
      <c r="G195" s="30">
        <f>SUM(H195:J195)</f>
        <v>12</v>
      </c>
      <c r="H195" s="31">
        <v>12</v>
      </c>
      <c r="I195" s="31">
        <v>0</v>
      </c>
      <c r="J195" s="31">
        <v>0</v>
      </c>
      <c r="K195" s="72">
        <f>G195/C195</f>
        <v>1</v>
      </c>
      <c r="L195" s="24"/>
      <c r="N195" s="235"/>
      <c r="O195" s="235"/>
      <c r="P195" s="235"/>
      <c r="Q195" s="235"/>
      <c r="R195" s="235"/>
      <c r="S195" s="235"/>
      <c r="T195" s="235"/>
    </row>
    <row r="196" spans="1:20" s="14" customFormat="1" ht="103.5" customHeight="1" x14ac:dyDescent="0.2">
      <c r="A196" s="24"/>
      <c r="B196" s="17" t="s">
        <v>237</v>
      </c>
      <c r="C196" s="30">
        <f>SUM(D196:F196)</f>
        <v>17</v>
      </c>
      <c r="D196" s="31">
        <v>17</v>
      </c>
      <c r="E196" s="31">
        <v>0</v>
      </c>
      <c r="F196" s="31">
        <v>0</v>
      </c>
      <c r="G196" s="30">
        <f>SUM(H196:J196)</f>
        <v>17</v>
      </c>
      <c r="H196" s="31">
        <v>17</v>
      </c>
      <c r="I196" s="31">
        <v>0</v>
      </c>
      <c r="J196" s="31">
        <v>0</v>
      </c>
      <c r="K196" s="72">
        <f>G196/C196</f>
        <v>1</v>
      </c>
      <c r="L196" s="24"/>
      <c r="N196" s="235"/>
      <c r="O196" s="235"/>
      <c r="P196" s="235"/>
      <c r="Q196" s="235"/>
      <c r="R196" s="235"/>
      <c r="S196" s="235"/>
      <c r="T196" s="235"/>
    </row>
    <row r="197" spans="1:20" s="14" customFormat="1" ht="72" customHeight="1" x14ac:dyDescent="0.2">
      <c r="A197" s="24"/>
      <c r="B197" s="17" t="s">
        <v>238</v>
      </c>
      <c r="C197" s="30">
        <f>SUM(D197:F197)</f>
        <v>2</v>
      </c>
      <c r="D197" s="31">
        <v>2</v>
      </c>
      <c r="E197" s="31">
        <v>0</v>
      </c>
      <c r="F197" s="31">
        <v>0</v>
      </c>
      <c r="G197" s="30">
        <f>SUM(H197:J197)</f>
        <v>2</v>
      </c>
      <c r="H197" s="31">
        <v>2</v>
      </c>
      <c r="I197" s="31">
        <v>0</v>
      </c>
      <c r="J197" s="31">
        <v>0</v>
      </c>
      <c r="K197" s="72">
        <f>G197/C197</f>
        <v>1</v>
      </c>
      <c r="L197" s="24"/>
      <c r="N197" s="235"/>
      <c r="O197" s="235"/>
      <c r="P197" s="235"/>
      <c r="Q197" s="235"/>
      <c r="R197" s="235"/>
      <c r="S197" s="235"/>
      <c r="T197" s="235"/>
    </row>
    <row r="198" spans="1:20" s="2" customFormat="1" x14ac:dyDescent="0.25">
      <c r="A198" s="28" t="s">
        <v>239</v>
      </c>
      <c r="B198" s="208" t="s">
        <v>240</v>
      </c>
      <c r="C198" s="208"/>
      <c r="D198" s="208"/>
      <c r="E198" s="208"/>
      <c r="F198" s="208"/>
      <c r="G198" s="208"/>
      <c r="H198" s="208"/>
      <c r="I198" s="208"/>
      <c r="J198" s="208"/>
      <c r="K198" s="208"/>
      <c r="L198" s="208"/>
      <c r="N198" s="234"/>
      <c r="O198" s="234"/>
      <c r="P198" s="234"/>
      <c r="Q198" s="234"/>
      <c r="R198" s="234"/>
      <c r="S198" s="234"/>
      <c r="T198" s="234"/>
    </row>
    <row r="199" spans="1:20" s="14" customFormat="1" ht="48" customHeight="1" x14ac:dyDescent="0.2">
      <c r="A199" s="24"/>
      <c r="B199" s="17" t="s">
        <v>241</v>
      </c>
      <c r="C199" s="18">
        <f>D199+E199+F199</f>
        <v>44.5</v>
      </c>
      <c r="D199" s="19">
        <f>D202+D203+D205+D206+D207</f>
        <v>44.5</v>
      </c>
      <c r="E199" s="19">
        <v>0</v>
      </c>
      <c r="F199" s="19">
        <f>SUM(F202:F207)</f>
        <v>0</v>
      </c>
      <c r="G199" s="18">
        <f>H199+I199+J199</f>
        <v>44.5</v>
      </c>
      <c r="H199" s="19">
        <f>H202+H203+H205+H206+H207</f>
        <v>44.5</v>
      </c>
      <c r="I199" s="19">
        <v>0</v>
      </c>
      <c r="J199" s="19">
        <f>SUM(J202:J207)</f>
        <v>0</v>
      </c>
      <c r="K199" s="20">
        <f>G199/C199</f>
        <v>1</v>
      </c>
      <c r="L199" s="141"/>
      <c r="N199" s="235"/>
      <c r="O199" s="235"/>
      <c r="P199" s="235"/>
      <c r="Q199" s="235"/>
      <c r="R199" s="235"/>
      <c r="S199" s="235"/>
      <c r="T199" s="235"/>
    </row>
    <row r="200" spans="1:20" s="2" customFormat="1" x14ac:dyDescent="0.25">
      <c r="A200" s="23"/>
      <c r="B200" s="202" t="s">
        <v>242</v>
      </c>
      <c r="C200" s="202"/>
      <c r="D200" s="202"/>
      <c r="E200" s="202"/>
      <c r="F200" s="202"/>
      <c r="G200" s="202"/>
      <c r="H200" s="202"/>
      <c r="I200" s="202"/>
      <c r="J200" s="202"/>
      <c r="K200" s="202"/>
      <c r="L200" s="202"/>
      <c r="N200" s="234"/>
      <c r="O200" s="234"/>
      <c r="P200" s="234"/>
      <c r="Q200" s="234"/>
      <c r="R200" s="234"/>
      <c r="S200" s="234"/>
      <c r="T200" s="234"/>
    </row>
    <row r="201" spans="1:20" s="2" customFormat="1" ht="36" customHeight="1" x14ac:dyDescent="0.25">
      <c r="A201" s="23"/>
      <c r="B201" s="212" t="s">
        <v>243</v>
      </c>
      <c r="C201" s="212"/>
      <c r="D201" s="212"/>
      <c r="E201" s="212"/>
      <c r="F201" s="212"/>
      <c r="G201" s="212"/>
      <c r="H201" s="212"/>
      <c r="I201" s="212"/>
      <c r="J201" s="212"/>
      <c r="K201" s="212"/>
      <c r="L201" s="212"/>
      <c r="N201" s="234"/>
      <c r="O201" s="234"/>
      <c r="P201" s="234"/>
      <c r="Q201" s="234"/>
      <c r="R201" s="234"/>
      <c r="S201" s="234"/>
      <c r="T201" s="234"/>
    </row>
    <row r="202" spans="1:20" s="14" customFormat="1" ht="81.75" customHeight="1" x14ac:dyDescent="0.2">
      <c r="A202" s="24"/>
      <c r="B202" s="17" t="s">
        <v>244</v>
      </c>
      <c r="C202" s="30">
        <f>SUM(D202:F202)</f>
        <v>0</v>
      </c>
      <c r="D202" s="31">
        <v>0</v>
      </c>
      <c r="E202" s="31">
        <v>0</v>
      </c>
      <c r="F202" s="31">
        <v>0</v>
      </c>
      <c r="G202" s="30">
        <f>SUM(H202:J202)</f>
        <v>0</v>
      </c>
      <c r="H202" s="31">
        <v>0</v>
      </c>
      <c r="I202" s="31">
        <v>0</v>
      </c>
      <c r="J202" s="31">
        <v>0</v>
      </c>
      <c r="K202" s="72">
        <v>0</v>
      </c>
      <c r="L202" s="24"/>
      <c r="N202" s="235"/>
      <c r="O202" s="235"/>
      <c r="P202" s="235"/>
      <c r="Q202" s="235"/>
      <c r="R202" s="235"/>
      <c r="S202" s="235"/>
      <c r="T202" s="235"/>
    </row>
    <row r="203" spans="1:20" s="14" customFormat="1" ht="57" customHeight="1" x14ac:dyDescent="0.2">
      <c r="A203" s="24"/>
      <c r="B203" s="17" t="s">
        <v>245</v>
      </c>
      <c r="C203" s="30">
        <f>SUM(D203:F203)</f>
        <v>0</v>
      </c>
      <c r="D203" s="31">
        <v>0</v>
      </c>
      <c r="E203" s="31">
        <v>0</v>
      </c>
      <c r="F203" s="31">
        <v>0</v>
      </c>
      <c r="G203" s="30">
        <f>SUM(H203:J203)</f>
        <v>0</v>
      </c>
      <c r="H203" s="31">
        <v>0</v>
      </c>
      <c r="I203" s="31">
        <v>0</v>
      </c>
      <c r="J203" s="31">
        <v>0</v>
      </c>
      <c r="K203" s="72">
        <v>0</v>
      </c>
      <c r="L203" s="24"/>
      <c r="N203" s="235"/>
      <c r="O203" s="235"/>
      <c r="P203" s="235"/>
      <c r="Q203" s="235"/>
      <c r="R203" s="235"/>
      <c r="S203" s="235"/>
      <c r="T203" s="235"/>
    </row>
    <row r="204" spans="1:20" s="14" customFormat="1" ht="23.25" customHeight="1" x14ac:dyDescent="0.2">
      <c r="A204" s="24"/>
      <c r="B204" s="209" t="s">
        <v>246</v>
      </c>
      <c r="C204" s="209"/>
      <c r="D204" s="209"/>
      <c r="E204" s="209"/>
      <c r="F204" s="209"/>
      <c r="G204" s="209"/>
      <c r="H204" s="209"/>
      <c r="I204" s="209"/>
      <c r="J204" s="209"/>
      <c r="K204" s="209"/>
      <c r="L204" s="209"/>
      <c r="N204" s="235"/>
      <c r="O204" s="235"/>
      <c r="P204" s="235"/>
      <c r="Q204" s="235"/>
      <c r="R204" s="235"/>
      <c r="S204" s="235"/>
      <c r="T204" s="235"/>
    </row>
    <row r="205" spans="1:20" s="14" customFormat="1" ht="71.25" customHeight="1" x14ac:dyDescent="0.2">
      <c r="A205" s="24"/>
      <c r="B205" s="17" t="s">
        <v>247</v>
      </c>
      <c r="C205" s="30">
        <f>SUM(D205:F205)</f>
        <v>20</v>
      </c>
      <c r="D205" s="31">
        <v>20</v>
      </c>
      <c r="E205" s="31">
        <v>0</v>
      </c>
      <c r="F205" s="31">
        <v>0</v>
      </c>
      <c r="G205" s="30">
        <f>SUM(H205:J205)</f>
        <v>20</v>
      </c>
      <c r="H205" s="31">
        <v>20</v>
      </c>
      <c r="I205" s="31">
        <v>0</v>
      </c>
      <c r="J205" s="31">
        <v>0</v>
      </c>
      <c r="K205" s="72">
        <f>G205/C205</f>
        <v>1</v>
      </c>
      <c r="L205" s="24"/>
      <c r="N205" s="235"/>
      <c r="O205" s="235"/>
      <c r="P205" s="235"/>
      <c r="Q205" s="235"/>
      <c r="R205" s="235"/>
      <c r="S205" s="235"/>
      <c r="T205" s="235"/>
    </row>
    <row r="206" spans="1:20" s="14" customFormat="1" ht="186" customHeight="1" x14ac:dyDescent="0.2">
      <c r="A206" s="24"/>
      <c r="B206" s="17" t="s">
        <v>248</v>
      </c>
      <c r="C206" s="30">
        <f>SUM(D206:F206)</f>
        <v>17</v>
      </c>
      <c r="D206" s="31">
        <v>17</v>
      </c>
      <c r="E206" s="31">
        <v>0</v>
      </c>
      <c r="F206" s="31">
        <v>0</v>
      </c>
      <c r="G206" s="30">
        <f>SUM(H206:J206)</f>
        <v>17</v>
      </c>
      <c r="H206" s="31">
        <v>17</v>
      </c>
      <c r="I206" s="31">
        <v>0</v>
      </c>
      <c r="J206" s="31">
        <v>0</v>
      </c>
      <c r="K206" s="72">
        <f>G206/C206</f>
        <v>1</v>
      </c>
      <c r="L206" s="24"/>
      <c r="N206" s="235"/>
      <c r="O206" s="235"/>
      <c r="P206" s="235"/>
      <c r="Q206" s="235"/>
      <c r="R206" s="235"/>
      <c r="S206" s="235"/>
      <c r="T206" s="235"/>
    </row>
    <row r="207" spans="1:20" s="14" customFormat="1" ht="66" customHeight="1" x14ac:dyDescent="0.2">
      <c r="A207" s="24"/>
      <c r="B207" s="17" t="s">
        <v>249</v>
      </c>
      <c r="C207" s="30">
        <f>SUM(D207:F207)</f>
        <v>7.5</v>
      </c>
      <c r="D207" s="31">
        <v>7.5</v>
      </c>
      <c r="E207" s="31">
        <v>0</v>
      </c>
      <c r="F207" s="31">
        <v>0</v>
      </c>
      <c r="G207" s="30">
        <f>SUM(H207:J207)</f>
        <v>7.5</v>
      </c>
      <c r="H207" s="31">
        <v>7.5</v>
      </c>
      <c r="I207" s="31">
        <v>0</v>
      </c>
      <c r="J207" s="31">
        <v>0</v>
      </c>
      <c r="K207" s="72">
        <f>G207/C207</f>
        <v>1</v>
      </c>
      <c r="L207" s="24"/>
      <c r="N207" s="235"/>
      <c r="O207" s="235"/>
      <c r="P207" s="235"/>
      <c r="Q207" s="235"/>
      <c r="R207" s="235"/>
      <c r="S207" s="235"/>
      <c r="T207" s="235"/>
    </row>
    <row r="208" spans="1:20" s="14" customFormat="1" ht="21.75" customHeight="1" x14ac:dyDescent="0.2">
      <c r="A208" s="24"/>
      <c r="B208" s="213" t="s">
        <v>250</v>
      </c>
      <c r="C208" s="213"/>
      <c r="D208" s="213"/>
      <c r="E208" s="213"/>
      <c r="F208" s="213"/>
      <c r="G208" s="213"/>
      <c r="H208" s="213"/>
      <c r="I208" s="213"/>
      <c r="J208" s="213"/>
      <c r="K208" s="213"/>
      <c r="L208" s="213"/>
      <c r="N208" s="235"/>
      <c r="O208" s="235"/>
      <c r="P208" s="235"/>
      <c r="Q208" s="254"/>
      <c r="R208" s="235"/>
      <c r="S208" s="235"/>
      <c r="T208" s="235"/>
    </row>
    <row r="209" spans="1:20" s="14" customFormat="1" ht="84.75" customHeight="1" x14ac:dyDescent="0.2">
      <c r="A209" s="24"/>
      <c r="B209" s="17" t="s">
        <v>251</v>
      </c>
      <c r="C209" s="18">
        <f>D209+E209+F209</f>
        <v>153</v>
      </c>
      <c r="D209" s="19">
        <f>D212+D213+D215+D216</f>
        <v>153</v>
      </c>
      <c r="E209" s="19">
        <v>0</v>
      </c>
      <c r="F209" s="19">
        <f>SUM(F212:F216)</f>
        <v>0</v>
      </c>
      <c r="G209" s="18">
        <f>H209+I209+J209</f>
        <v>150.286</v>
      </c>
      <c r="H209" s="19">
        <f>H212+H213+H215+H216</f>
        <v>150.286</v>
      </c>
      <c r="I209" s="19">
        <f>I212+I213+I215+I216</f>
        <v>0</v>
      </c>
      <c r="J209" s="19">
        <f>J212+J213+J215+J216</f>
        <v>0</v>
      </c>
      <c r="K209" s="20">
        <f>G209/C209</f>
        <v>0.98226143790849674</v>
      </c>
      <c r="L209" s="141"/>
      <c r="N209" s="235"/>
      <c r="O209" s="235"/>
      <c r="P209" s="235"/>
      <c r="Q209" s="235"/>
      <c r="R209" s="235"/>
      <c r="S209" s="235"/>
      <c r="T209" s="235"/>
    </row>
    <row r="210" spans="1:20" s="2" customFormat="1" x14ac:dyDescent="0.25">
      <c r="A210" s="23"/>
      <c r="B210" s="202" t="s">
        <v>252</v>
      </c>
      <c r="C210" s="202"/>
      <c r="D210" s="202"/>
      <c r="E210" s="202"/>
      <c r="F210" s="202"/>
      <c r="G210" s="202"/>
      <c r="H210" s="202"/>
      <c r="I210" s="202"/>
      <c r="J210" s="202"/>
      <c r="K210" s="202"/>
      <c r="L210" s="202"/>
      <c r="N210" s="234"/>
      <c r="O210" s="234"/>
      <c r="P210" s="234"/>
      <c r="Q210" s="234"/>
      <c r="R210" s="234"/>
      <c r="S210" s="234"/>
      <c r="T210" s="234"/>
    </row>
    <row r="211" spans="1:20" s="2" customFormat="1" ht="36" customHeight="1" x14ac:dyDescent="0.25">
      <c r="A211" s="23"/>
      <c r="B211" s="212" t="s">
        <v>253</v>
      </c>
      <c r="C211" s="212"/>
      <c r="D211" s="212"/>
      <c r="E211" s="212"/>
      <c r="F211" s="212"/>
      <c r="G211" s="212"/>
      <c r="H211" s="212"/>
      <c r="I211" s="212"/>
      <c r="J211" s="212"/>
      <c r="K211" s="212"/>
      <c r="L211" s="212"/>
      <c r="N211" s="234"/>
      <c r="O211" s="234"/>
      <c r="P211" s="234"/>
      <c r="Q211" s="234"/>
      <c r="R211" s="234"/>
      <c r="S211" s="234"/>
      <c r="T211" s="234"/>
    </row>
    <row r="212" spans="1:20" s="14" customFormat="1" ht="57" customHeight="1" x14ac:dyDescent="0.2">
      <c r="A212" s="24"/>
      <c r="B212" s="17" t="s">
        <v>254</v>
      </c>
      <c r="C212" s="30">
        <f>SUM(D212:F212)</f>
        <v>0</v>
      </c>
      <c r="D212" s="31">
        <v>0</v>
      </c>
      <c r="E212" s="31">
        <v>0</v>
      </c>
      <c r="F212" s="31">
        <v>0</v>
      </c>
      <c r="G212" s="30">
        <f>SUM(H212:J212)</f>
        <v>0</v>
      </c>
      <c r="H212" s="31">
        <v>0</v>
      </c>
      <c r="I212" s="31">
        <v>0</v>
      </c>
      <c r="J212" s="31">
        <v>0</v>
      </c>
      <c r="K212" s="72">
        <v>0</v>
      </c>
      <c r="L212" s="141"/>
      <c r="N212" s="235"/>
      <c r="O212" s="235"/>
      <c r="P212" s="235"/>
      <c r="Q212" s="235"/>
      <c r="R212" s="235"/>
      <c r="S212" s="235"/>
      <c r="T212" s="235"/>
    </row>
    <row r="213" spans="1:20" s="14" customFormat="1" ht="40.5" customHeight="1" x14ac:dyDescent="0.2">
      <c r="A213" s="24"/>
      <c r="B213" s="17" t="s">
        <v>255</v>
      </c>
      <c r="C213" s="30">
        <f>SUM(D213:F213)</f>
        <v>0</v>
      </c>
      <c r="D213" s="31">
        <v>0</v>
      </c>
      <c r="E213" s="31">
        <v>0</v>
      </c>
      <c r="F213" s="31">
        <v>0</v>
      </c>
      <c r="G213" s="30">
        <f>SUM(H213:J213)</f>
        <v>0</v>
      </c>
      <c r="H213" s="31">
        <v>0</v>
      </c>
      <c r="I213" s="31">
        <v>0</v>
      </c>
      <c r="J213" s="31">
        <v>0</v>
      </c>
      <c r="K213" s="72">
        <v>0</v>
      </c>
      <c r="L213" s="24"/>
      <c r="N213" s="235"/>
      <c r="O213" s="235"/>
      <c r="P213" s="235"/>
      <c r="Q213" s="235"/>
      <c r="R213" s="235"/>
      <c r="S213" s="235"/>
      <c r="T213" s="235"/>
    </row>
    <row r="214" spans="1:20" s="2" customFormat="1" ht="27.75" customHeight="1" x14ac:dyDescent="0.25">
      <c r="A214" s="23"/>
      <c r="B214" s="212" t="s">
        <v>256</v>
      </c>
      <c r="C214" s="212"/>
      <c r="D214" s="212"/>
      <c r="E214" s="212"/>
      <c r="F214" s="212"/>
      <c r="G214" s="212"/>
      <c r="H214" s="212"/>
      <c r="I214" s="212"/>
      <c r="J214" s="212"/>
      <c r="K214" s="212"/>
      <c r="L214" s="212"/>
      <c r="N214" s="234"/>
      <c r="O214" s="234"/>
      <c r="P214" s="234"/>
      <c r="Q214" s="234"/>
      <c r="R214" s="234"/>
      <c r="S214" s="234"/>
      <c r="T214" s="234"/>
    </row>
    <row r="215" spans="1:20" s="14" customFormat="1" ht="214.5" customHeight="1" x14ac:dyDescent="0.2">
      <c r="A215" s="24"/>
      <c r="B215" s="17" t="s">
        <v>257</v>
      </c>
      <c r="C215" s="30">
        <f>SUM(D215:F215)</f>
        <v>17</v>
      </c>
      <c r="D215" s="31">
        <v>17</v>
      </c>
      <c r="E215" s="31">
        <v>0</v>
      </c>
      <c r="F215" s="31">
        <v>0</v>
      </c>
      <c r="G215" s="30">
        <f>SUM(H215:J215)</f>
        <v>17</v>
      </c>
      <c r="H215" s="31">
        <v>17</v>
      </c>
      <c r="I215" s="31">
        <v>0</v>
      </c>
      <c r="J215" s="31">
        <v>0</v>
      </c>
      <c r="K215" s="72">
        <f>G215/C215</f>
        <v>1</v>
      </c>
      <c r="L215" s="24"/>
      <c r="N215" s="235"/>
      <c r="O215" s="235"/>
      <c r="P215" s="235"/>
      <c r="Q215" s="235"/>
      <c r="R215" s="235"/>
      <c r="S215" s="235"/>
      <c r="T215" s="235"/>
    </row>
    <row r="216" spans="1:20" s="14" customFormat="1" ht="103.5" customHeight="1" x14ac:dyDescent="0.2">
      <c r="A216" s="24"/>
      <c r="B216" s="17" t="s">
        <v>258</v>
      </c>
      <c r="C216" s="30">
        <f>SUM(D216:F216)</f>
        <v>136</v>
      </c>
      <c r="D216" s="31">
        <v>136</v>
      </c>
      <c r="E216" s="31">
        <v>0</v>
      </c>
      <c r="F216" s="31">
        <v>0</v>
      </c>
      <c r="G216" s="30">
        <f>SUM(H216:J216)</f>
        <v>133.286</v>
      </c>
      <c r="H216" s="31">
        <f>69.986+55+8.3</f>
        <v>133.286</v>
      </c>
      <c r="I216" s="31">
        <v>0</v>
      </c>
      <c r="J216" s="31">
        <v>0</v>
      </c>
      <c r="K216" s="72">
        <f>G216/C216</f>
        <v>0.98004411764705879</v>
      </c>
      <c r="L216" s="24"/>
      <c r="N216" s="235"/>
      <c r="O216" s="235"/>
      <c r="P216" s="235"/>
      <c r="Q216" s="235"/>
      <c r="R216" s="235"/>
      <c r="S216" s="235"/>
      <c r="T216" s="235"/>
    </row>
    <row r="217" spans="1:20" s="14" customFormat="1" ht="102" customHeight="1" x14ac:dyDescent="0.2">
      <c r="A217" s="8" t="s">
        <v>259</v>
      </c>
      <c r="B217" s="9" t="s">
        <v>260</v>
      </c>
      <c r="C217" s="10">
        <f t="shared" ref="C217:J217" si="4">SUM(C219+C231+C239+C247)</f>
        <v>40571.868999999992</v>
      </c>
      <c r="D217" s="10">
        <f t="shared" si="4"/>
        <v>38145.968999999997</v>
      </c>
      <c r="E217" s="10">
        <f t="shared" si="4"/>
        <v>2350.4</v>
      </c>
      <c r="F217" s="10">
        <f t="shared" si="4"/>
        <v>75.5</v>
      </c>
      <c r="G217" s="10">
        <f t="shared" si="4"/>
        <v>40547.56</v>
      </c>
      <c r="H217" s="10">
        <f t="shared" si="4"/>
        <v>38121.659999999996</v>
      </c>
      <c r="I217" s="10">
        <f t="shared" si="4"/>
        <v>2350.4</v>
      </c>
      <c r="J217" s="10">
        <f t="shared" si="4"/>
        <v>75.5</v>
      </c>
      <c r="K217" s="143">
        <f>G217/C217</f>
        <v>0.99940084101129301</v>
      </c>
      <c r="L217" s="144"/>
      <c r="N217" s="235"/>
      <c r="O217" s="235"/>
      <c r="P217" s="235"/>
      <c r="Q217" s="235"/>
      <c r="R217" s="235"/>
      <c r="S217" s="235"/>
      <c r="T217" s="235"/>
    </row>
    <row r="218" spans="1:20" s="2" customFormat="1" x14ac:dyDescent="0.25">
      <c r="A218" s="28" t="s">
        <v>261</v>
      </c>
      <c r="B218" s="208" t="s">
        <v>262</v>
      </c>
      <c r="C218" s="208"/>
      <c r="D218" s="208"/>
      <c r="E218" s="208"/>
      <c r="F218" s="208"/>
      <c r="G218" s="208"/>
      <c r="H218" s="208"/>
      <c r="I218" s="208"/>
      <c r="J218" s="208"/>
      <c r="K218" s="208"/>
      <c r="L218" s="208"/>
      <c r="N218" s="234"/>
      <c r="O218" s="234"/>
      <c r="P218" s="234"/>
      <c r="Q218" s="234"/>
      <c r="R218" s="234"/>
      <c r="S218" s="234"/>
      <c r="T218" s="234"/>
    </row>
    <row r="219" spans="1:20" s="14" customFormat="1" ht="47.25" x14ac:dyDescent="0.2">
      <c r="A219" s="145"/>
      <c r="B219" s="146" t="s">
        <v>263</v>
      </c>
      <c r="C219" s="147">
        <f>C222+C224+C225+C226+C229+C227</f>
        <v>37101.525999999998</v>
      </c>
      <c r="D219" s="147">
        <f>D222+D224+D226+D229+D227</f>
        <v>34867.025999999998</v>
      </c>
      <c r="E219" s="147">
        <f>E222+E224+E226+E229+E227</f>
        <v>2159</v>
      </c>
      <c r="F219" s="147">
        <f>SUM(F222+F224+F226+F229+F227)</f>
        <v>75.5</v>
      </c>
      <c r="G219" s="147">
        <f>G222+G224+G225+G226+G229+G227</f>
        <v>37101.525999999998</v>
      </c>
      <c r="H219" s="147">
        <f>H222+H224+H226+H229+H227</f>
        <v>34867.025999999998</v>
      </c>
      <c r="I219" s="147">
        <f>I222+I224+I226+I229+I227</f>
        <v>2159</v>
      </c>
      <c r="J219" s="147">
        <f>SUM(J227+J222+J224+J226+J229)</f>
        <v>75.5</v>
      </c>
      <c r="K219" s="148">
        <f>G219/C219</f>
        <v>1</v>
      </c>
      <c r="L219" s="145"/>
      <c r="N219" s="235"/>
      <c r="O219" s="235"/>
      <c r="P219" s="235"/>
      <c r="Q219" s="235"/>
      <c r="R219" s="235"/>
      <c r="S219" s="235"/>
      <c r="T219" s="235"/>
    </row>
    <row r="220" spans="1:20" s="2" customFormat="1" x14ac:dyDescent="0.25">
      <c r="A220" s="23"/>
      <c r="B220" s="202" t="s">
        <v>264</v>
      </c>
      <c r="C220" s="202"/>
      <c r="D220" s="202"/>
      <c r="E220" s="202"/>
      <c r="F220" s="202"/>
      <c r="G220" s="202"/>
      <c r="H220" s="202"/>
      <c r="I220" s="202"/>
      <c r="J220" s="202"/>
      <c r="K220" s="202"/>
      <c r="L220" s="202"/>
      <c r="N220" s="234"/>
      <c r="O220" s="234"/>
      <c r="P220" s="234"/>
      <c r="Q220" s="234"/>
      <c r="R220" s="234"/>
      <c r="S220" s="234"/>
      <c r="T220" s="234"/>
    </row>
    <row r="221" spans="1:20" s="2" customFormat="1" x14ac:dyDescent="0.25">
      <c r="A221" s="23"/>
      <c r="B221" s="202" t="s">
        <v>265</v>
      </c>
      <c r="C221" s="202"/>
      <c r="D221" s="202"/>
      <c r="E221" s="202"/>
      <c r="F221" s="202"/>
      <c r="G221" s="202"/>
      <c r="H221" s="202"/>
      <c r="I221" s="202"/>
      <c r="J221" s="202"/>
      <c r="K221" s="202"/>
      <c r="L221" s="202"/>
      <c r="N221" s="234"/>
      <c r="O221" s="234"/>
      <c r="P221" s="234"/>
      <c r="Q221" s="234"/>
      <c r="R221" s="234"/>
      <c r="S221" s="234"/>
      <c r="T221" s="234"/>
    </row>
    <row r="222" spans="1:20" s="14" customFormat="1" ht="47.25" x14ac:dyDescent="0.2">
      <c r="A222" s="24"/>
      <c r="B222" s="17" t="s">
        <v>266</v>
      </c>
      <c r="C222" s="18">
        <f>SUM(D222:F222)</f>
        <v>1658.4</v>
      </c>
      <c r="D222" s="19">
        <v>1658.4</v>
      </c>
      <c r="E222" s="19">
        <v>0</v>
      </c>
      <c r="F222" s="19">
        <v>0</v>
      </c>
      <c r="G222" s="18">
        <f>SUM(H222:J222)</f>
        <v>1658.4</v>
      </c>
      <c r="H222" s="201">
        <v>1658.4</v>
      </c>
      <c r="I222" s="19">
        <v>0</v>
      </c>
      <c r="J222" s="19">
        <v>0</v>
      </c>
      <c r="K222" s="72">
        <f>G222/C222</f>
        <v>1</v>
      </c>
      <c r="L222" s="24"/>
      <c r="N222" s="236"/>
      <c r="O222" s="235"/>
      <c r="P222" s="235"/>
      <c r="Q222" s="235"/>
      <c r="R222" s="235"/>
      <c r="S222" s="235"/>
      <c r="T222" s="235"/>
    </row>
    <row r="223" spans="1:20" s="2" customFormat="1" x14ac:dyDescent="0.25">
      <c r="A223" s="23"/>
      <c r="B223" s="202" t="s">
        <v>267</v>
      </c>
      <c r="C223" s="202"/>
      <c r="D223" s="202"/>
      <c r="E223" s="202"/>
      <c r="F223" s="202"/>
      <c r="G223" s="202"/>
      <c r="H223" s="202"/>
      <c r="I223" s="202"/>
      <c r="J223" s="202"/>
      <c r="K223" s="202"/>
      <c r="L223" s="202"/>
      <c r="N223" s="234"/>
      <c r="O223" s="234"/>
      <c r="P223" s="234"/>
      <c r="Q223" s="234"/>
      <c r="R223" s="234"/>
      <c r="S223" s="234"/>
      <c r="T223" s="234"/>
    </row>
    <row r="224" spans="1:20" s="14" customFormat="1" ht="37.5" customHeight="1" x14ac:dyDescent="0.2">
      <c r="A224" s="24"/>
      <c r="B224" s="17" t="s">
        <v>268</v>
      </c>
      <c r="C224" s="18">
        <f>SUM(D224:F224)</f>
        <v>2495.9899999999998</v>
      </c>
      <c r="D224" s="19">
        <v>2495.9899999999998</v>
      </c>
      <c r="E224" s="19">
        <v>0</v>
      </c>
      <c r="F224" s="19">
        <v>0</v>
      </c>
      <c r="G224" s="18">
        <f>SUM(H224:J224)</f>
        <v>2496</v>
      </c>
      <c r="H224" s="201">
        <v>2496</v>
      </c>
      <c r="I224" s="19">
        <v>0</v>
      </c>
      <c r="J224" s="19">
        <v>0</v>
      </c>
      <c r="K224" s="72">
        <f>G224/C224</f>
        <v>1.0000040064263078</v>
      </c>
      <c r="L224" s="24"/>
      <c r="N224" s="240"/>
      <c r="O224" s="235"/>
      <c r="P224" s="235"/>
      <c r="Q224" s="235"/>
      <c r="R224" s="235"/>
      <c r="S224" s="235"/>
      <c r="T224" s="235"/>
    </row>
    <row r="225" spans="1:20" s="14" customFormat="1" ht="128.65" customHeight="1" x14ac:dyDescent="0.2">
      <c r="A225" s="24"/>
      <c r="B225" s="17" t="s">
        <v>269</v>
      </c>
      <c r="C225" s="18">
        <f>D225+E225+F225</f>
        <v>0</v>
      </c>
      <c r="D225" s="19">
        <v>0</v>
      </c>
      <c r="E225" s="19">
        <v>0</v>
      </c>
      <c r="F225" s="19">
        <v>0</v>
      </c>
      <c r="G225" s="18">
        <f>H225+I225+J225</f>
        <v>0</v>
      </c>
      <c r="H225" s="19">
        <v>0</v>
      </c>
      <c r="I225" s="19">
        <v>0</v>
      </c>
      <c r="J225" s="19">
        <v>0</v>
      </c>
      <c r="K225" s="72">
        <v>0</v>
      </c>
      <c r="L225" s="24"/>
      <c r="N225" s="235"/>
      <c r="O225" s="235"/>
      <c r="P225" s="235"/>
      <c r="Q225" s="235"/>
      <c r="R225" s="235"/>
      <c r="S225" s="235"/>
      <c r="T225" s="235"/>
    </row>
    <row r="226" spans="1:20" s="14" customFormat="1" ht="82.5" customHeight="1" x14ac:dyDescent="0.2">
      <c r="A226" s="24"/>
      <c r="B226" s="17" t="s">
        <v>270</v>
      </c>
      <c r="C226" s="18">
        <f>SUM(D226:F226)</f>
        <v>887.73</v>
      </c>
      <c r="D226" s="19">
        <v>887.73</v>
      </c>
      <c r="E226" s="19">
        <v>0</v>
      </c>
      <c r="F226" s="19">
        <v>0</v>
      </c>
      <c r="G226" s="18">
        <f>SUM(H226:J226)</f>
        <v>887.726</v>
      </c>
      <c r="H226" s="19">
        <v>887.726</v>
      </c>
      <c r="I226" s="19">
        <v>0</v>
      </c>
      <c r="J226" s="19">
        <v>0</v>
      </c>
      <c r="K226" s="72">
        <f>G226/C226</f>
        <v>0.99999549412546607</v>
      </c>
      <c r="L226" s="24"/>
      <c r="N226" s="235"/>
      <c r="O226" s="235"/>
      <c r="P226" s="235"/>
      <c r="Q226" s="235"/>
      <c r="R226" s="235"/>
      <c r="S226" s="235"/>
      <c r="T226" s="235"/>
    </row>
    <row r="227" spans="1:20" s="14" customFormat="1" ht="34.5" customHeight="1" x14ac:dyDescent="0.2">
      <c r="A227" s="24"/>
      <c r="B227" s="17" t="s">
        <v>271</v>
      </c>
      <c r="C227" s="18">
        <f>SUM(D227:F227)</f>
        <v>151</v>
      </c>
      <c r="D227" s="19">
        <v>75.5</v>
      </c>
      <c r="E227" s="19">
        <v>0</v>
      </c>
      <c r="F227" s="19">
        <v>75.5</v>
      </c>
      <c r="G227" s="18">
        <f>SUM(H227:J227)</f>
        <v>151</v>
      </c>
      <c r="H227" s="201">
        <v>75.5</v>
      </c>
      <c r="I227" s="19">
        <v>0</v>
      </c>
      <c r="J227" s="19">
        <v>75.5</v>
      </c>
      <c r="K227" s="72">
        <f>G227/C227</f>
        <v>1</v>
      </c>
      <c r="L227" s="24"/>
      <c r="N227" s="235"/>
      <c r="O227" s="235"/>
      <c r="P227" s="235"/>
      <c r="Q227" s="235"/>
      <c r="R227" s="235"/>
      <c r="S227" s="235"/>
      <c r="T227" s="235"/>
    </row>
    <row r="228" spans="1:20" s="2" customFormat="1" x14ac:dyDescent="0.25">
      <c r="A228" s="23"/>
      <c r="B228" s="202" t="s">
        <v>272</v>
      </c>
      <c r="C228" s="202"/>
      <c r="D228" s="202"/>
      <c r="E228" s="202"/>
      <c r="F228" s="202"/>
      <c r="G228" s="202"/>
      <c r="H228" s="202"/>
      <c r="I228" s="202"/>
      <c r="J228" s="202"/>
      <c r="K228" s="202"/>
      <c r="L228" s="202"/>
      <c r="N228" s="234"/>
      <c r="O228" s="234"/>
      <c r="P228" s="234"/>
      <c r="Q228" s="234"/>
      <c r="R228" s="234"/>
      <c r="S228" s="234"/>
      <c r="T228" s="234"/>
    </row>
    <row r="229" spans="1:20" s="14" customFormat="1" ht="31.5" x14ac:dyDescent="0.2">
      <c r="A229" s="24"/>
      <c r="B229" s="17" t="s">
        <v>273</v>
      </c>
      <c r="C229" s="18">
        <f>SUM(D229+E229+F229)</f>
        <v>31908.405999999999</v>
      </c>
      <c r="D229" s="201">
        <f>29742.909+6.497</f>
        <v>29749.405999999999</v>
      </c>
      <c r="E229" s="19">
        <v>2159</v>
      </c>
      <c r="F229" s="19">
        <v>0</v>
      </c>
      <c r="G229" s="18">
        <f>SUM(H229:J229)</f>
        <v>31908.400000000001</v>
      </c>
      <c r="H229" s="19">
        <v>29749.4</v>
      </c>
      <c r="I229" s="19">
        <v>2159</v>
      </c>
      <c r="J229" s="19">
        <v>0</v>
      </c>
      <c r="K229" s="72">
        <f>G229/C229</f>
        <v>0.9999998119617759</v>
      </c>
      <c r="L229" s="24"/>
      <c r="N229" s="242"/>
      <c r="O229" s="235"/>
      <c r="P229" s="235"/>
      <c r="Q229" s="235"/>
      <c r="R229" s="235"/>
      <c r="S229" s="235"/>
      <c r="T229" s="235"/>
    </row>
    <row r="230" spans="1:20" s="2" customFormat="1" x14ac:dyDescent="0.25">
      <c r="A230" s="28" t="s">
        <v>274</v>
      </c>
      <c r="B230" s="208" t="s">
        <v>275</v>
      </c>
      <c r="C230" s="208"/>
      <c r="D230" s="208"/>
      <c r="E230" s="208"/>
      <c r="F230" s="208"/>
      <c r="G230" s="208"/>
      <c r="H230" s="208"/>
      <c r="I230" s="208"/>
      <c r="J230" s="208"/>
      <c r="K230" s="208"/>
      <c r="L230" s="208"/>
      <c r="N230" s="234"/>
      <c r="O230" s="234"/>
      <c r="P230" s="234"/>
      <c r="Q230" s="234"/>
      <c r="R230" s="234"/>
      <c r="S230" s="234"/>
      <c r="T230" s="234"/>
    </row>
    <row r="231" spans="1:20" s="14" customFormat="1" ht="31.5" x14ac:dyDescent="0.2">
      <c r="A231" s="145"/>
      <c r="B231" s="146" t="s">
        <v>276</v>
      </c>
      <c r="C231" s="147">
        <f>SUM(D231:F231)</f>
        <v>1545.45</v>
      </c>
      <c r="D231" s="147">
        <f>D234+D236+D237</f>
        <v>1423.05</v>
      </c>
      <c r="E231" s="147">
        <f>E234+E236+E237</f>
        <v>122.4</v>
      </c>
      <c r="F231" s="147">
        <f>SUM(F234+F236)</f>
        <v>0</v>
      </c>
      <c r="G231" s="147">
        <f>SUM(H231:J231)</f>
        <v>1545.4</v>
      </c>
      <c r="H231" s="147">
        <f>H234+H236+H237</f>
        <v>1423</v>
      </c>
      <c r="I231" s="147">
        <f>I234+I236+I237</f>
        <v>122.4</v>
      </c>
      <c r="J231" s="147">
        <f>SUM(J234+J236)</f>
        <v>0</v>
      </c>
      <c r="K231" s="148">
        <f>G231/C231</f>
        <v>0.99996764696366758</v>
      </c>
      <c r="L231" s="145"/>
      <c r="N231" s="235"/>
      <c r="O231" s="235"/>
      <c r="P231" s="235"/>
      <c r="Q231" s="235"/>
      <c r="R231" s="235"/>
      <c r="S231" s="235"/>
      <c r="T231" s="235"/>
    </row>
    <row r="232" spans="1:20" s="2" customFormat="1" x14ac:dyDescent="0.25">
      <c r="A232" s="23"/>
      <c r="B232" s="202" t="s">
        <v>277</v>
      </c>
      <c r="C232" s="202"/>
      <c r="D232" s="202"/>
      <c r="E232" s="202"/>
      <c r="F232" s="202"/>
      <c r="G232" s="202"/>
      <c r="H232" s="202"/>
      <c r="I232" s="202"/>
      <c r="J232" s="202"/>
      <c r="K232" s="202"/>
      <c r="L232" s="202"/>
      <c r="N232" s="234"/>
      <c r="O232" s="234"/>
      <c r="P232" s="234"/>
      <c r="Q232" s="234"/>
      <c r="R232" s="234"/>
      <c r="S232" s="234"/>
      <c r="T232" s="234"/>
    </row>
    <row r="233" spans="1:20" s="2" customFormat="1" x14ac:dyDescent="0.25">
      <c r="A233" s="23"/>
      <c r="B233" s="202" t="s">
        <v>278</v>
      </c>
      <c r="C233" s="202"/>
      <c r="D233" s="202"/>
      <c r="E233" s="202"/>
      <c r="F233" s="202"/>
      <c r="G233" s="202"/>
      <c r="H233" s="202"/>
      <c r="I233" s="202"/>
      <c r="J233" s="202"/>
      <c r="K233" s="202"/>
      <c r="L233" s="202"/>
      <c r="N233" s="234"/>
      <c r="O233" s="234"/>
      <c r="P233" s="234"/>
      <c r="Q233" s="234"/>
      <c r="R233" s="234"/>
      <c r="S233" s="234"/>
      <c r="T233" s="234"/>
    </row>
    <row r="234" spans="1:20" s="14" customFormat="1" ht="47.25" x14ac:dyDescent="0.2">
      <c r="A234" s="24"/>
      <c r="B234" s="17" t="s">
        <v>279</v>
      </c>
      <c r="C234" s="30">
        <f>SUM(D234:F234)</f>
        <v>1205.71</v>
      </c>
      <c r="D234" s="31">
        <v>1205.71</v>
      </c>
      <c r="E234" s="31">
        <v>0</v>
      </c>
      <c r="F234" s="31">
        <v>0</v>
      </c>
      <c r="G234" s="30">
        <f>SUM(H234:J234)</f>
        <v>1205.7</v>
      </c>
      <c r="H234" s="258">
        <v>1205.7</v>
      </c>
      <c r="I234" s="31">
        <v>0</v>
      </c>
      <c r="J234" s="31">
        <v>0</v>
      </c>
      <c r="K234" s="72">
        <f>G234/C234</f>
        <v>0.99999170613165689</v>
      </c>
      <c r="L234" s="24"/>
      <c r="N234" s="235"/>
      <c r="O234" s="235"/>
      <c r="P234" s="235"/>
      <c r="Q234" s="235"/>
      <c r="R234" s="235"/>
      <c r="S234" s="235"/>
      <c r="T234" s="235"/>
    </row>
    <row r="235" spans="1:20" s="2" customFormat="1" x14ac:dyDescent="0.25">
      <c r="A235" s="23"/>
      <c r="B235" s="202" t="s">
        <v>280</v>
      </c>
      <c r="C235" s="202"/>
      <c r="D235" s="202"/>
      <c r="E235" s="202"/>
      <c r="F235" s="202"/>
      <c r="G235" s="202"/>
      <c r="H235" s="202"/>
      <c r="I235" s="202"/>
      <c r="J235" s="202"/>
      <c r="K235" s="202"/>
      <c r="L235" s="24"/>
      <c r="N235" s="234"/>
      <c r="O235" s="234"/>
      <c r="P235" s="234"/>
      <c r="Q235" s="234"/>
      <c r="R235" s="234"/>
      <c r="S235" s="234"/>
      <c r="T235" s="234"/>
    </row>
    <row r="236" spans="1:20" s="14" customFormat="1" ht="78.75" x14ac:dyDescent="0.2">
      <c r="A236" s="24"/>
      <c r="B236" s="17" t="s">
        <v>281</v>
      </c>
      <c r="C236" s="30">
        <f>SUM(D236:F236)</f>
        <v>164.84</v>
      </c>
      <c r="D236" s="31">
        <v>164.84</v>
      </c>
      <c r="E236" s="31">
        <v>0</v>
      </c>
      <c r="F236" s="31">
        <v>0</v>
      </c>
      <c r="G236" s="30">
        <f>SUM(H236:J236)</f>
        <v>164.8</v>
      </c>
      <c r="H236" s="258">
        <v>164.8</v>
      </c>
      <c r="I236" s="31">
        <v>0</v>
      </c>
      <c r="J236" s="31">
        <v>0</v>
      </c>
      <c r="K236" s="72">
        <f>G236/C236</f>
        <v>0.99975734045134679</v>
      </c>
      <c r="L236" s="24"/>
      <c r="N236" s="240"/>
      <c r="O236" s="235"/>
      <c r="P236" s="235"/>
      <c r="Q236" s="235"/>
      <c r="R236" s="235"/>
      <c r="S236" s="235"/>
      <c r="T236" s="235"/>
    </row>
    <row r="237" spans="1:20" s="14" customFormat="1" ht="78.75" x14ac:dyDescent="0.2">
      <c r="A237" s="24"/>
      <c r="B237" s="17" t="s">
        <v>282</v>
      </c>
      <c r="C237" s="30">
        <f>SUM(D237:F237)</f>
        <v>174.9</v>
      </c>
      <c r="D237" s="31">
        <v>52.5</v>
      </c>
      <c r="E237" s="31">
        <v>122.4</v>
      </c>
      <c r="F237" s="31">
        <v>0</v>
      </c>
      <c r="G237" s="30">
        <f>SUM(H237:J237)</f>
        <v>174.9</v>
      </c>
      <c r="H237" s="258">
        <v>52.5</v>
      </c>
      <c r="I237" s="31">
        <v>122.4</v>
      </c>
      <c r="J237" s="31">
        <v>0</v>
      </c>
      <c r="K237" s="72">
        <f>G237/C237</f>
        <v>1</v>
      </c>
      <c r="L237" s="24"/>
      <c r="N237" s="235"/>
      <c r="O237" s="235"/>
      <c r="P237" s="235"/>
      <c r="Q237" s="235"/>
      <c r="R237" s="235"/>
      <c r="S237" s="235"/>
      <c r="T237" s="235"/>
    </row>
    <row r="238" spans="1:20" s="2" customFormat="1" ht="15.75" customHeight="1" x14ac:dyDescent="0.25">
      <c r="A238" s="28" t="s">
        <v>283</v>
      </c>
      <c r="B238" s="203" t="s">
        <v>284</v>
      </c>
      <c r="C238" s="203"/>
      <c r="D238" s="203"/>
      <c r="E238" s="203"/>
      <c r="F238" s="203"/>
      <c r="G238" s="203"/>
      <c r="H238" s="203"/>
      <c r="I238" s="203"/>
      <c r="J238" s="203"/>
      <c r="K238" s="203"/>
      <c r="L238" s="203"/>
      <c r="N238" s="234"/>
      <c r="O238" s="234"/>
      <c r="P238" s="234"/>
      <c r="Q238" s="234"/>
      <c r="R238" s="234"/>
      <c r="S238" s="234"/>
      <c r="T238" s="234"/>
    </row>
    <row r="239" spans="1:20" s="14" customFormat="1" ht="47.25" x14ac:dyDescent="0.2">
      <c r="A239" s="145"/>
      <c r="B239" s="146" t="s">
        <v>285</v>
      </c>
      <c r="C239" s="150">
        <f>SUM(D239)</f>
        <v>1071.3899999999999</v>
      </c>
      <c r="D239" s="150">
        <f>D242+D243+D245</f>
        <v>1071.3899999999999</v>
      </c>
      <c r="E239" s="150">
        <f>SUM(E242+E243+E245)</f>
        <v>0</v>
      </c>
      <c r="F239" s="150">
        <f>SUM(F242+F243+F245)</f>
        <v>0</v>
      </c>
      <c r="G239" s="150">
        <f>SUM(H239)</f>
        <v>1062.521</v>
      </c>
      <c r="H239" s="150">
        <f>H242+H243+H245</f>
        <v>1062.521</v>
      </c>
      <c r="I239" s="150">
        <f>SUM(I242+I243+I245)</f>
        <v>0</v>
      </c>
      <c r="J239" s="150">
        <f>SUM(J242+J243+J245)</f>
        <v>0</v>
      </c>
      <c r="K239" s="148">
        <f>G239/C239</f>
        <v>0.99172196865753837</v>
      </c>
      <c r="L239" s="145"/>
      <c r="N239" s="235"/>
      <c r="O239" s="235"/>
      <c r="P239" s="235"/>
      <c r="Q239" s="235"/>
      <c r="R239" s="235"/>
      <c r="S239" s="235"/>
      <c r="T239" s="235"/>
    </row>
    <row r="240" spans="1:20" s="2" customFormat="1" ht="30.2" customHeight="1" x14ac:dyDescent="0.25">
      <c r="A240" s="23"/>
      <c r="B240" s="212" t="s">
        <v>286</v>
      </c>
      <c r="C240" s="212"/>
      <c r="D240" s="212"/>
      <c r="E240" s="212"/>
      <c r="F240" s="212"/>
      <c r="G240" s="212"/>
      <c r="H240" s="212"/>
      <c r="I240" s="212"/>
      <c r="J240" s="212"/>
      <c r="K240" s="212"/>
      <c r="L240" s="212"/>
      <c r="N240" s="234"/>
      <c r="O240" s="234"/>
      <c r="P240" s="234"/>
      <c r="Q240" s="234"/>
      <c r="R240" s="234"/>
      <c r="S240" s="234"/>
      <c r="T240" s="234"/>
    </row>
    <row r="241" spans="1:20" s="2" customFormat="1" x14ac:dyDescent="0.25">
      <c r="A241" s="23"/>
      <c r="B241" s="202" t="s">
        <v>287</v>
      </c>
      <c r="C241" s="202"/>
      <c r="D241" s="202"/>
      <c r="E241" s="202"/>
      <c r="F241" s="202"/>
      <c r="G241" s="202"/>
      <c r="H241" s="202"/>
      <c r="I241" s="202"/>
      <c r="J241" s="202"/>
      <c r="K241" s="202"/>
      <c r="L241" s="202"/>
      <c r="N241" s="234"/>
      <c r="O241" s="234"/>
      <c r="P241" s="234"/>
      <c r="Q241" s="234"/>
      <c r="R241" s="234"/>
      <c r="S241" s="234"/>
      <c r="T241" s="234"/>
    </row>
    <row r="242" spans="1:20" s="14" customFormat="1" ht="81" customHeight="1" x14ac:dyDescent="0.2">
      <c r="A242" s="24"/>
      <c r="B242" s="17" t="s">
        <v>288</v>
      </c>
      <c r="C242" s="151">
        <f>SUM(D242:F242)</f>
        <v>789.93399999999997</v>
      </c>
      <c r="D242" s="152">
        <f>722.334+67.6</f>
        <v>789.93399999999997</v>
      </c>
      <c r="E242" s="31">
        <v>0</v>
      </c>
      <c r="F242" s="31">
        <v>0</v>
      </c>
      <c r="G242" s="30">
        <f>SUM(H242:J242)</f>
        <v>789.93399999999997</v>
      </c>
      <c r="H242" s="259">
        <f>722.334+67.6</f>
        <v>789.93399999999997</v>
      </c>
      <c r="I242" s="31">
        <v>0</v>
      </c>
      <c r="J242" s="31">
        <v>0</v>
      </c>
      <c r="K242" s="72">
        <f>G242/C242</f>
        <v>1</v>
      </c>
      <c r="L242" s="24"/>
      <c r="N242" s="235"/>
      <c r="O242" s="235"/>
      <c r="P242" s="235"/>
      <c r="Q242" s="235"/>
      <c r="R242" s="235"/>
      <c r="S242" s="235"/>
      <c r="T242" s="235"/>
    </row>
    <row r="243" spans="1:20" s="14" customFormat="1" ht="72" customHeight="1" x14ac:dyDescent="0.2">
      <c r="A243" s="24"/>
      <c r="B243" s="17" t="s">
        <v>289</v>
      </c>
      <c r="C243" s="30">
        <f>SUM(D243:F243)</f>
        <v>199.32599999999999</v>
      </c>
      <c r="D243" s="152">
        <v>199.32599999999999</v>
      </c>
      <c r="E243" s="31">
        <v>0</v>
      </c>
      <c r="F243" s="31">
        <v>0</v>
      </c>
      <c r="G243" s="30">
        <f>SUM(H243:J243)</f>
        <v>191.20599999999999</v>
      </c>
      <c r="H243" s="258">
        <v>191.20599999999999</v>
      </c>
      <c r="I243" s="31">
        <v>0</v>
      </c>
      <c r="J243" s="31">
        <v>0</v>
      </c>
      <c r="K243" s="72">
        <f>G243/C243</f>
        <v>0.95926271535073193</v>
      </c>
      <c r="L243" s="24"/>
      <c r="N243" s="235"/>
      <c r="O243" s="235"/>
      <c r="P243" s="235"/>
      <c r="Q243" s="235"/>
      <c r="R243" s="235"/>
      <c r="S243" s="235"/>
      <c r="T243" s="235"/>
    </row>
    <row r="244" spans="1:20" s="2" customFormat="1" x14ac:dyDescent="0.25">
      <c r="A244" s="23"/>
      <c r="B244" s="202" t="s">
        <v>290</v>
      </c>
      <c r="C244" s="202"/>
      <c r="D244" s="202"/>
      <c r="E244" s="202"/>
      <c r="F244" s="202"/>
      <c r="G244" s="202"/>
      <c r="H244" s="202"/>
      <c r="I244" s="202"/>
      <c r="J244" s="202"/>
      <c r="K244" s="202"/>
      <c r="L244" s="24"/>
      <c r="N244" s="234"/>
      <c r="O244" s="234"/>
      <c r="P244" s="234"/>
      <c r="Q244" s="234"/>
      <c r="R244" s="234"/>
      <c r="S244" s="234"/>
      <c r="T244" s="234"/>
    </row>
    <row r="245" spans="1:20" s="14" customFormat="1" ht="63" customHeight="1" x14ac:dyDescent="0.2">
      <c r="A245" s="24"/>
      <c r="B245" s="17" t="s">
        <v>291</v>
      </c>
      <c r="C245" s="30">
        <f>SUM(D245:F246)</f>
        <v>82.13</v>
      </c>
      <c r="D245" s="152">
        <v>82.13</v>
      </c>
      <c r="E245" s="31">
        <v>0</v>
      </c>
      <c r="F245" s="31">
        <v>0</v>
      </c>
      <c r="G245" s="30">
        <f>SUM(H245:J245)</f>
        <v>81.381</v>
      </c>
      <c r="H245" s="258">
        <f>31.581+22.87+26.93</f>
        <v>81.381</v>
      </c>
      <c r="I245" s="31">
        <v>0</v>
      </c>
      <c r="J245" s="31">
        <v>0</v>
      </c>
      <c r="K245" s="72">
        <f>G245/C245</f>
        <v>0.99088031170096191</v>
      </c>
      <c r="L245" s="24"/>
      <c r="N245" s="235"/>
      <c r="O245" s="235"/>
      <c r="P245" s="235"/>
      <c r="Q245" s="235"/>
      <c r="R245" s="235"/>
      <c r="S245" s="235"/>
      <c r="T245" s="235"/>
    </row>
    <row r="246" spans="1:20" s="2" customFormat="1" x14ac:dyDescent="0.25">
      <c r="A246" s="28" t="s">
        <v>292</v>
      </c>
      <c r="B246" s="208" t="s">
        <v>293</v>
      </c>
      <c r="C246" s="208"/>
      <c r="D246" s="208"/>
      <c r="E246" s="208"/>
      <c r="F246" s="208"/>
      <c r="G246" s="208"/>
      <c r="H246" s="208"/>
      <c r="I246" s="208"/>
      <c r="J246" s="208"/>
      <c r="K246" s="208"/>
      <c r="L246" s="208"/>
      <c r="N246" s="234"/>
      <c r="O246" s="234"/>
      <c r="P246" s="234"/>
      <c r="Q246" s="234"/>
      <c r="R246" s="234"/>
      <c r="S246" s="234"/>
      <c r="T246" s="234"/>
    </row>
    <row r="247" spans="1:20" s="14" customFormat="1" ht="63" x14ac:dyDescent="0.2">
      <c r="A247" s="145"/>
      <c r="B247" s="146" t="s">
        <v>294</v>
      </c>
      <c r="C247" s="153">
        <f>D247+E247+F247</f>
        <v>853.50300000000004</v>
      </c>
      <c r="D247" s="154">
        <f>D250+D252</f>
        <v>784.50300000000004</v>
      </c>
      <c r="E247" s="153">
        <f>SUM(E250+E252)</f>
        <v>69</v>
      </c>
      <c r="F247" s="153">
        <f>SUM(F250+F252)</f>
        <v>0</v>
      </c>
      <c r="G247" s="153">
        <f>H247+I247+J247</f>
        <v>838.11300000000006</v>
      </c>
      <c r="H247" s="153">
        <f>H250+H252</f>
        <v>769.11300000000006</v>
      </c>
      <c r="I247" s="153">
        <f>SUM(I250+I252)</f>
        <v>69</v>
      </c>
      <c r="J247" s="153">
        <f>SUM(J250+J252)</f>
        <v>0</v>
      </c>
      <c r="K247" s="148">
        <f>G247/C247</f>
        <v>0.98196842893346603</v>
      </c>
      <c r="L247" s="145"/>
      <c r="N247" s="235"/>
      <c r="O247" s="235"/>
      <c r="P247" s="255"/>
      <c r="Q247" s="235"/>
      <c r="R247" s="235"/>
      <c r="S247" s="235"/>
      <c r="T247" s="235"/>
    </row>
    <row r="248" spans="1:20" s="2" customFormat="1" x14ac:dyDescent="0.25">
      <c r="A248" s="23"/>
      <c r="B248" s="202" t="s">
        <v>295</v>
      </c>
      <c r="C248" s="202"/>
      <c r="D248" s="202"/>
      <c r="E248" s="202"/>
      <c r="F248" s="202"/>
      <c r="G248" s="202"/>
      <c r="H248" s="202"/>
      <c r="I248" s="202"/>
      <c r="J248" s="202"/>
      <c r="K248" s="202"/>
      <c r="L248" s="24"/>
      <c r="N248" s="234"/>
      <c r="O248" s="234"/>
      <c r="P248" s="234"/>
      <c r="Q248" s="234"/>
      <c r="R248" s="234"/>
      <c r="S248" s="234"/>
      <c r="T248" s="234"/>
    </row>
    <row r="249" spans="1:20" s="2" customFormat="1" x14ac:dyDescent="0.25">
      <c r="A249" s="23"/>
      <c r="B249" s="202" t="s">
        <v>296</v>
      </c>
      <c r="C249" s="202"/>
      <c r="D249" s="202"/>
      <c r="E249" s="202"/>
      <c r="F249" s="202"/>
      <c r="G249" s="202"/>
      <c r="H249" s="202"/>
      <c r="I249" s="202"/>
      <c r="J249" s="202"/>
      <c r="K249" s="202"/>
      <c r="L249" s="24"/>
      <c r="N249" s="234"/>
      <c r="O249" s="234"/>
      <c r="P249" s="234"/>
      <c r="Q249" s="234"/>
      <c r="R249" s="234"/>
      <c r="S249" s="234"/>
      <c r="T249" s="234"/>
    </row>
    <row r="250" spans="1:20" s="14" customFormat="1" ht="47.25" x14ac:dyDescent="0.2">
      <c r="A250" s="24"/>
      <c r="B250" s="17" t="s">
        <v>297</v>
      </c>
      <c r="C250" s="30">
        <f>SUM(D250:F250)</f>
        <v>593.35500000000002</v>
      </c>
      <c r="D250" s="31">
        <v>524.35500000000002</v>
      </c>
      <c r="E250" s="31">
        <v>69</v>
      </c>
      <c r="F250" s="31">
        <v>0</v>
      </c>
      <c r="G250" s="30">
        <f>SUM(H250:J250)</f>
        <v>577.96499999999992</v>
      </c>
      <c r="H250" s="258">
        <v>508.96499999999997</v>
      </c>
      <c r="I250" s="31">
        <v>69</v>
      </c>
      <c r="J250" s="31">
        <v>0</v>
      </c>
      <c r="K250" s="72">
        <f>G250/C250</f>
        <v>0.97406274489976474</v>
      </c>
      <c r="L250" s="141"/>
      <c r="N250" s="235"/>
      <c r="O250" s="235"/>
      <c r="P250" s="235"/>
      <c r="Q250" s="235"/>
      <c r="R250" s="235"/>
      <c r="S250" s="235"/>
      <c r="T250" s="235"/>
    </row>
    <row r="251" spans="1:20" s="2" customFormat="1" ht="48.75" customHeight="1" x14ac:dyDescent="0.25">
      <c r="A251" s="23"/>
      <c r="B251" s="212" t="s">
        <v>298</v>
      </c>
      <c r="C251" s="212"/>
      <c r="D251" s="212"/>
      <c r="E251" s="212"/>
      <c r="F251" s="212"/>
      <c r="G251" s="212"/>
      <c r="H251" s="212"/>
      <c r="I251" s="212"/>
      <c r="J251" s="212"/>
      <c r="K251" s="212"/>
      <c r="L251" s="24"/>
      <c r="N251" s="234"/>
      <c r="O251" s="234"/>
      <c r="P251" s="234"/>
      <c r="Q251" s="234"/>
      <c r="R251" s="234"/>
      <c r="S251" s="234"/>
      <c r="T251" s="234"/>
    </row>
    <row r="252" spans="1:20" s="2" customFormat="1" ht="68.25" customHeight="1" x14ac:dyDescent="0.25">
      <c r="A252" s="23"/>
      <c r="B252" s="59" t="s">
        <v>299</v>
      </c>
      <c r="C252" s="60">
        <f>SUM(D252:F252)</f>
        <v>260.14800000000002</v>
      </c>
      <c r="D252" s="61">
        <v>260.14800000000002</v>
      </c>
      <c r="E252" s="61">
        <v>0</v>
      </c>
      <c r="F252" s="61">
        <v>0</v>
      </c>
      <c r="G252" s="60">
        <f>H252+I252+J252</f>
        <v>260.14800000000002</v>
      </c>
      <c r="H252" s="260">
        <v>260.14800000000002</v>
      </c>
      <c r="I252" s="61">
        <v>0</v>
      </c>
      <c r="J252" s="61">
        <v>0</v>
      </c>
      <c r="K252" s="62">
        <f>G252/C252</f>
        <v>1</v>
      </c>
      <c r="L252" s="24"/>
      <c r="N252" s="234"/>
      <c r="O252" s="234"/>
      <c r="P252" s="234"/>
      <c r="Q252" s="234"/>
      <c r="R252" s="234"/>
      <c r="S252" s="234"/>
      <c r="T252" s="234"/>
    </row>
    <row r="253" spans="1:20" s="14" customFormat="1" ht="97.5" customHeight="1" x14ac:dyDescent="0.2">
      <c r="A253" s="8" t="s">
        <v>300</v>
      </c>
      <c r="B253" s="9" t="s">
        <v>301</v>
      </c>
      <c r="C253" s="10">
        <f>SUM(C255+C263+C274+C280+C287)</f>
        <v>356140.36900000001</v>
      </c>
      <c r="D253" s="10">
        <f>SUM(D255+D263+D274+D280+D287)</f>
        <v>138783.06899999999</v>
      </c>
      <c r="E253" s="10">
        <f>SUM(E255+E263+E274+E280+E287)</f>
        <v>152581.4</v>
      </c>
      <c r="F253" s="10">
        <f>SUM(F255+F263+F275+F280+F287)</f>
        <v>64775.9</v>
      </c>
      <c r="G253" s="10">
        <f>SUM(G255+G263+G274+G280+G287)</f>
        <v>268247.28200000001</v>
      </c>
      <c r="H253" s="10">
        <f>SUM(H255+H263+H274+H280+H287)</f>
        <v>115685.06</v>
      </c>
      <c r="I253" s="10">
        <f>SUM(I255+I263+I274+I280+I287)</f>
        <v>152562.22199999998</v>
      </c>
      <c r="J253" s="10">
        <f>SUM(J255+J263+J275+J280+J287)</f>
        <v>0</v>
      </c>
      <c r="K253" s="12">
        <f>G253/C253</f>
        <v>0.75320661556342694</v>
      </c>
      <c r="L253" s="144"/>
      <c r="N253" s="235"/>
      <c r="O253" s="235"/>
      <c r="P253" s="235"/>
      <c r="Q253" s="235"/>
      <c r="R253" s="235"/>
      <c r="S253" s="235"/>
      <c r="T253" s="235"/>
    </row>
    <row r="254" spans="1:20" s="2" customFormat="1" x14ac:dyDescent="0.25">
      <c r="A254" s="28" t="s">
        <v>302</v>
      </c>
      <c r="B254" s="208" t="s">
        <v>303</v>
      </c>
      <c r="C254" s="208"/>
      <c r="D254" s="208"/>
      <c r="E254" s="208"/>
      <c r="F254" s="208"/>
      <c r="G254" s="208"/>
      <c r="H254" s="208"/>
      <c r="I254" s="208"/>
      <c r="J254" s="208"/>
      <c r="K254" s="208"/>
      <c r="L254" s="208"/>
      <c r="N254" s="234"/>
      <c r="O254" s="234"/>
      <c r="P254" s="234"/>
      <c r="Q254" s="234"/>
      <c r="R254" s="234"/>
      <c r="S254" s="234"/>
      <c r="T254" s="234"/>
    </row>
    <row r="255" spans="1:20" s="14" customFormat="1" ht="60.95" customHeight="1" x14ac:dyDescent="0.2">
      <c r="A255" s="24"/>
      <c r="B255" s="17" t="s">
        <v>304</v>
      </c>
      <c r="C255" s="18">
        <f t="shared" ref="C255:J255" si="5">SUM(C258+C259+C261)</f>
        <v>18205.118999999999</v>
      </c>
      <c r="D255" s="19">
        <f t="shared" si="5"/>
        <v>18205.118999999999</v>
      </c>
      <c r="E255" s="19">
        <f t="shared" si="5"/>
        <v>0</v>
      </c>
      <c r="F255" s="19">
        <f t="shared" si="5"/>
        <v>0</v>
      </c>
      <c r="G255" s="18">
        <f t="shared" si="5"/>
        <v>17016.691999999999</v>
      </c>
      <c r="H255" s="19">
        <f t="shared" si="5"/>
        <v>17016.691999999999</v>
      </c>
      <c r="I255" s="19">
        <f t="shared" si="5"/>
        <v>0</v>
      </c>
      <c r="J255" s="19">
        <f t="shared" si="5"/>
        <v>0</v>
      </c>
      <c r="K255" s="20">
        <f>G255/C255</f>
        <v>0.93472017403456686</v>
      </c>
      <c r="L255" s="24" t="s">
        <v>399</v>
      </c>
      <c r="N255" s="235"/>
      <c r="O255" s="235"/>
      <c r="P255" s="235"/>
      <c r="Q255" s="235"/>
      <c r="R255" s="235"/>
      <c r="S255" s="235"/>
      <c r="T255" s="235"/>
    </row>
    <row r="256" spans="1:20" s="2" customFormat="1" x14ac:dyDescent="0.25">
      <c r="A256" s="23"/>
      <c r="B256" s="202" t="s">
        <v>305</v>
      </c>
      <c r="C256" s="202"/>
      <c r="D256" s="202"/>
      <c r="E256" s="202"/>
      <c r="F256" s="202"/>
      <c r="G256" s="202"/>
      <c r="H256" s="202"/>
      <c r="I256" s="202"/>
      <c r="J256" s="202"/>
      <c r="K256" s="202"/>
      <c r="L256" s="202"/>
      <c r="N256" s="234"/>
      <c r="O256" s="234"/>
      <c r="P256" s="234"/>
      <c r="Q256" s="234"/>
      <c r="R256" s="234"/>
      <c r="S256" s="234"/>
      <c r="T256" s="234"/>
    </row>
    <row r="257" spans="1:20" s="2" customFormat="1" x14ac:dyDescent="0.25">
      <c r="A257" s="23"/>
      <c r="B257" s="202" t="s">
        <v>306</v>
      </c>
      <c r="C257" s="202"/>
      <c r="D257" s="202"/>
      <c r="E257" s="202"/>
      <c r="F257" s="202"/>
      <c r="G257" s="202"/>
      <c r="H257" s="202"/>
      <c r="I257" s="202"/>
      <c r="J257" s="202"/>
      <c r="K257" s="202"/>
      <c r="L257" s="202"/>
      <c r="N257" s="234"/>
      <c r="O257" s="234"/>
      <c r="P257" s="234"/>
      <c r="Q257" s="234"/>
      <c r="R257" s="234"/>
      <c r="S257" s="234"/>
      <c r="T257" s="234"/>
    </row>
    <row r="258" spans="1:20" s="14" customFormat="1" ht="47.25" x14ac:dyDescent="0.2">
      <c r="A258" s="24"/>
      <c r="B258" s="156" t="s">
        <v>307</v>
      </c>
      <c r="C258" s="18">
        <f>SUM(D258:F258)</f>
        <v>2628.806</v>
      </c>
      <c r="D258" s="19">
        <v>2628.806</v>
      </c>
      <c r="E258" s="19">
        <v>0</v>
      </c>
      <c r="F258" s="19">
        <v>0</v>
      </c>
      <c r="G258" s="18">
        <f>SUM(H258:J258)</f>
        <v>2570.1950000000002</v>
      </c>
      <c r="H258" s="19">
        <v>2570.1950000000002</v>
      </c>
      <c r="I258" s="19">
        <v>0</v>
      </c>
      <c r="J258" s="19">
        <v>0</v>
      </c>
      <c r="K258" s="72">
        <f>G258/C258</f>
        <v>0.9777043266030282</v>
      </c>
      <c r="L258" s="141"/>
      <c r="N258" s="235"/>
      <c r="O258" s="240"/>
      <c r="P258" s="235"/>
      <c r="Q258" s="235"/>
      <c r="R258" s="235"/>
      <c r="S258" s="235"/>
      <c r="T258" s="235"/>
    </row>
    <row r="259" spans="1:20" s="14" customFormat="1" ht="78.75" x14ac:dyDescent="0.2">
      <c r="A259" s="24"/>
      <c r="B259" s="17" t="s">
        <v>310</v>
      </c>
      <c r="C259" s="18">
        <f>SUM(D259:F259)</f>
        <v>12904.5</v>
      </c>
      <c r="D259" s="19">
        <v>12904.5</v>
      </c>
      <c r="E259" s="19">
        <v>0</v>
      </c>
      <c r="F259" s="19">
        <v>0</v>
      </c>
      <c r="G259" s="18">
        <f>SUM(H259:J259)</f>
        <v>12847.029</v>
      </c>
      <c r="H259" s="19">
        <v>12847.029</v>
      </c>
      <c r="I259" s="19">
        <v>0</v>
      </c>
      <c r="J259" s="19">
        <v>0</v>
      </c>
      <c r="K259" s="72">
        <f>G259/C259</f>
        <v>0.99554643728931769</v>
      </c>
      <c r="L259" s="24"/>
      <c r="N259" s="235"/>
      <c r="O259" s="235"/>
      <c r="P259" s="235"/>
      <c r="Q259" s="235"/>
      <c r="R259" s="235"/>
      <c r="S259" s="235"/>
      <c r="T259" s="235"/>
    </row>
    <row r="260" spans="1:20" s="2" customFormat="1" x14ac:dyDescent="0.25">
      <c r="A260" s="23"/>
      <c r="B260" s="202" t="s">
        <v>312</v>
      </c>
      <c r="C260" s="202"/>
      <c r="D260" s="202"/>
      <c r="E260" s="202"/>
      <c r="F260" s="202"/>
      <c r="G260" s="202"/>
      <c r="H260" s="202"/>
      <c r="I260" s="202"/>
      <c r="J260" s="202"/>
      <c r="K260" s="202"/>
      <c r="L260" s="202"/>
      <c r="N260" s="234"/>
      <c r="O260" s="234"/>
      <c r="P260" s="234"/>
      <c r="Q260" s="234"/>
      <c r="R260" s="234"/>
      <c r="S260" s="234"/>
      <c r="T260" s="234"/>
    </row>
    <row r="261" spans="1:20" s="14" customFormat="1" ht="47.25" x14ac:dyDescent="0.2">
      <c r="A261" s="24"/>
      <c r="B261" s="17" t="s">
        <v>313</v>
      </c>
      <c r="C261" s="30">
        <f>SUM(D261:F261)</f>
        <v>2671.8130000000001</v>
      </c>
      <c r="D261" s="31">
        <f>1871.813+800</f>
        <v>2671.8130000000001</v>
      </c>
      <c r="E261" s="31">
        <v>0</v>
      </c>
      <c r="F261" s="31">
        <v>0</v>
      </c>
      <c r="G261" s="30">
        <f>SUM(H261:J261)</f>
        <v>1599.4679999999998</v>
      </c>
      <c r="H261" s="31">
        <f>83.6+1515.868</f>
        <v>1599.4679999999998</v>
      </c>
      <c r="I261" s="31">
        <v>0</v>
      </c>
      <c r="J261" s="31">
        <v>0</v>
      </c>
      <c r="K261" s="72">
        <f>G261/C261</f>
        <v>0.59864518961469226</v>
      </c>
      <c r="L261" s="141"/>
      <c r="N261" s="235"/>
      <c r="O261" s="240"/>
      <c r="P261" s="235"/>
      <c r="Q261" s="235"/>
      <c r="R261" s="235"/>
      <c r="S261" s="235"/>
      <c r="T261" s="235"/>
    </row>
    <row r="262" spans="1:20" s="2" customFormat="1" x14ac:dyDescent="0.25">
      <c r="A262" s="28" t="s">
        <v>315</v>
      </c>
      <c r="B262" s="208" t="s">
        <v>316</v>
      </c>
      <c r="C262" s="208"/>
      <c r="D262" s="208"/>
      <c r="E262" s="208"/>
      <c r="F262" s="208"/>
      <c r="G262" s="208"/>
      <c r="H262" s="208"/>
      <c r="I262" s="208"/>
      <c r="J262" s="208"/>
      <c r="K262" s="208"/>
      <c r="L262" s="208"/>
      <c r="N262" s="234"/>
      <c r="O262" s="234"/>
      <c r="P262" s="234"/>
      <c r="Q262" s="234"/>
      <c r="R262" s="234"/>
      <c r="S262" s="234"/>
      <c r="T262" s="234"/>
    </row>
    <row r="263" spans="1:20" s="14" customFormat="1" ht="36.75" customHeight="1" x14ac:dyDescent="0.2">
      <c r="A263" s="24"/>
      <c r="B263" s="17" t="s">
        <v>317</v>
      </c>
      <c r="C263" s="18">
        <f>C264+C265+C266+C267+C270+C272</f>
        <v>242743.478</v>
      </c>
      <c r="D263" s="19">
        <f>D264+D265+D267+D266+D270+D272</f>
        <v>25577.277999999998</v>
      </c>
      <c r="E263" s="19">
        <f>E264+E265+E266+E270+E272</f>
        <v>152390.29999999999</v>
      </c>
      <c r="F263" s="19">
        <f>F264+F265+F266+F270+F272</f>
        <v>64775.9</v>
      </c>
      <c r="G263" s="18">
        <f>G264+G265+G266+G270+G272+G267</f>
        <v>165630.606</v>
      </c>
      <c r="H263" s="19">
        <f>H264+H265+H266+H267+H270+H272</f>
        <v>13240.305999999999</v>
      </c>
      <c r="I263" s="19">
        <f>I264+I265+I266+I270+I272</f>
        <v>152390.29999999999</v>
      </c>
      <c r="J263" s="31">
        <f>J264+J265+J266+J270+J272</f>
        <v>0</v>
      </c>
      <c r="K263" s="20">
        <f>G263/C263</f>
        <v>0.68232772869802916</v>
      </c>
      <c r="L263" s="24"/>
      <c r="N263" s="235"/>
      <c r="O263" s="235"/>
      <c r="P263" s="235"/>
      <c r="Q263" s="235"/>
      <c r="R263" s="235"/>
      <c r="S263" s="235"/>
      <c r="T263" s="235"/>
    </row>
    <row r="264" spans="1:20" s="14" customFormat="1" ht="89.25" customHeight="1" x14ac:dyDescent="0.2">
      <c r="A264" s="24"/>
      <c r="B264" s="17" t="s">
        <v>318</v>
      </c>
      <c r="C264" s="18">
        <f>SUM(D264:F264)</f>
        <v>73817.290000000008</v>
      </c>
      <c r="D264" s="19">
        <f>9041.39</f>
        <v>9041.39</v>
      </c>
      <c r="E264" s="19">
        <v>0</v>
      </c>
      <c r="F264" s="19">
        <v>64775.9</v>
      </c>
      <c r="G264" s="18">
        <f>SUM(H264:J264)</f>
        <v>1505.982</v>
      </c>
      <c r="H264" s="19">
        <v>1505.982</v>
      </c>
      <c r="I264" s="19">
        <v>0</v>
      </c>
      <c r="J264" s="19">
        <v>0</v>
      </c>
      <c r="K264" s="20">
        <f>G264/C264</f>
        <v>2.0401480466161786E-2</v>
      </c>
      <c r="L264" s="141" t="s">
        <v>319</v>
      </c>
      <c r="N264" s="242"/>
      <c r="O264" s="235"/>
      <c r="P264" s="235"/>
      <c r="Q264" s="235"/>
      <c r="R264" s="235"/>
      <c r="S264" s="235"/>
      <c r="T264" s="235"/>
    </row>
    <row r="265" spans="1:20" s="14" customFormat="1" ht="99" customHeight="1" x14ac:dyDescent="0.2">
      <c r="A265" s="24"/>
      <c r="B265" s="17" t="s">
        <v>321</v>
      </c>
      <c r="C265" s="18">
        <f>SUM(D265:F265)</f>
        <v>160823.75</v>
      </c>
      <c r="D265" s="19">
        <f>8020.5+412.95</f>
        <v>8433.4500000000007</v>
      </c>
      <c r="E265" s="19">
        <v>152390.29999999999</v>
      </c>
      <c r="F265" s="19">
        <v>0</v>
      </c>
      <c r="G265" s="18">
        <f>SUM(H265:J265)</f>
        <v>160410.79999999999</v>
      </c>
      <c r="H265" s="19">
        <v>8020.5</v>
      </c>
      <c r="I265" s="19">
        <v>152390.29999999999</v>
      </c>
      <c r="J265" s="19">
        <v>0</v>
      </c>
      <c r="K265" s="20">
        <f>G265/C265</f>
        <v>0.99743228223443359</v>
      </c>
      <c r="L265" s="24"/>
      <c r="N265" s="242"/>
      <c r="O265" s="235"/>
      <c r="P265" s="235"/>
      <c r="Q265" s="235"/>
      <c r="R265" s="235"/>
      <c r="S265" s="235"/>
      <c r="T265" s="235"/>
    </row>
    <row r="266" spans="1:20" s="14" customFormat="1" ht="159" customHeight="1" x14ac:dyDescent="0.2">
      <c r="A266" s="24"/>
      <c r="B266" s="17" t="s">
        <v>323</v>
      </c>
      <c r="C266" s="18">
        <f>SUM(D266:F266)</f>
        <v>2728</v>
      </c>
      <c r="D266" s="19">
        <v>2728</v>
      </c>
      <c r="E266" s="19">
        <v>0</v>
      </c>
      <c r="F266" s="19">
        <v>0</v>
      </c>
      <c r="G266" s="18">
        <f>SUM(H266:J266)</f>
        <v>0</v>
      </c>
      <c r="H266" s="19">
        <v>0</v>
      </c>
      <c r="I266" s="19">
        <v>0</v>
      </c>
      <c r="J266" s="19">
        <v>0</v>
      </c>
      <c r="K266" s="20">
        <f>G266/C266</f>
        <v>0</v>
      </c>
      <c r="L266" s="141" t="s">
        <v>324</v>
      </c>
      <c r="N266" s="235"/>
      <c r="O266" s="240"/>
      <c r="P266" s="235"/>
      <c r="Q266" s="235"/>
      <c r="R266" s="235"/>
      <c r="S266" s="235"/>
      <c r="T266" s="235"/>
    </row>
    <row r="267" spans="1:20" s="135" customFormat="1" ht="116.25" customHeight="1" x14ac:dyDescent="0.2">
      <c r="A267" s="24"/>
      <c r="B267" s="17" t="s">
        <v>325</v>
      </c>
      <c r="C267" s="18">
        <f>SUM(D267:F267)</f>
        <v>500</v>
      </c>
      <c r="D267" s="19">
        <v>500</v>
      </c>
      <c r="E267" s="19">
        <v>0</v>
      </c>
      <c r="F267" s="19">
        <v>0</v>
      </c>
      <c r="G267" s="18">
        <f>SUM(H267:J267)</f>
        <v>500</v>
      </c>
      <c r="H267" s="19">
        <v>500</v>
      </c>
      <c r="I267" s="19">
        <v>0</v>
      </c>
      <c r="J267" s="19">
        <v>0</v>
      </c>
      <c r="K267" s="20">
        <f>G267/C267</f>
        <v>1</v>
      </c>
      <c r="L267" s="24"/>
      <c r="M267" s="14"/>
      <c r="N267" s="235"/>
      <c r="O267" s="240"/>
      <c r="P267" s="246"/>
      <c r="Q267" s="246"/>
      <c r="R267" s="246"/>
      <c r="S267" s="246"/>
      <c r="T267" s="246"/>
    </row>
    <row r="268" spans="1:20" s="135" customFormat="1" ht="24.75" customHeight="1" x14ac:dyDescent="0.2">
      <c r="A268" s="157"/>
      <c r="B268" s="209" t="s">
        <v>326</v>
      </c>
      <c r="C268" s="209"/>
      <c r="D268" s="209"/>
      <c r="E268" s="209"/>
      <c r="F268" s="209"/>
      <c r="G268" s="209"/>
      <c r="H268" s="209"/>
      <c r="I268" s="209"/>
      <c r="J268" s="209"/>
      <c r="K268" s="209"/>
      <c r="L268" s="209"/>
      <c r="M268" s="158"/>
      <c r="N268" s="244"/>
      <c r="O268" s="245"/>
      <c r="P268" s="246"/>
      <c r="Q268" s="246"/>
      <c r="R268" s="246"/>
      <c r="S268" s="246"/>
      <c r="T268" s="246"/>
    </row>
    <row r="269" spans="1:20" s="14" customFormat="1" ht="39.75" customHeight="1" x14ac:dyDescent="0.2">
      <c r="A269" s="157"/>
      <c r="B269" s="210" t="s">
        <v>327</v>
      </c>
      <c r="C269" s="210"/>
      <c r="D269" s="210"/>
      <c r="E269" s="210"/>
      <c r="F269" s="210"/>
      <c r="G269" s="210"/>
      <c r="H269" s="210"/>
      <c r="I269" s="210"/>
      <c r="J269" s="210"/>
      <c r="K269" s="210"/>
      <c r="L269" s="210"/>
      <c r="M269" s="161"/>
      <c r="N269" s="244"/>
      <c r="O269" s="245"/>
      <c r="P269" s="235"/>
      <c r="Q269" s="235"/>
      <c r="R269" s="235"/>
      <c r="S269" s="235"/>
      <c r="T269" s="235"/>
    </row>
    <row r="270" spans="1:20" s="14" customFormat="1" ht="96.75" customHeight="1" x14ac:dyDescent="0.2">
      <c r="A270" s="24"/>
      <c r="B270" s="17" t="s">
        <v>328</v>
      </c>
      <c r="C270" s="30">
        <f>SUM(D270:F270)</f>
        <v>2284.2799999999997</v>
      </c>
      <c r="D270" s="31">
        <f>400+838.68+5+1040.6</f>
        <v>2284.2799999999997</v>
      </c>
      <c r="E270" s="31">
        <v>0</v>
      </c>
      <c r="F270" s="31">
        <v>0</v>
      </c>
      <c r="G270" s="30">
        <f>SUM(H270:J270)</f>
        <v>838.61300000000006</v>
      </c>
      <c r="H270" s="31">
        <v>838.61300000000006</v>
      </c>
      <c r="I270" s="31">
        <v>0</v>
      </c>
      <c r="J270" s="31">
        <v>0</v>
      </c>
      <c r="K270" s="20">
        <f>G270/C270</f>
        <v>0.3671235575323516</v>
      </c>
      <c r="L270" s="141" t="s">
        <v>400</v>
      </c>
      <c r="N270" s="236"/>
      <c r="O270" s="240"/>
      <c r="P270" s="235"/>
      <c r="Q270" s="235"/>
      <c r="R270" s="235"/>
      <c r="S270" s="235"/>
      <c r="T270" s="235"/>
    </row>
    <row r="271" spans="1:20" s="14" customFormat="1" ht="30" customHeight="1" x14ac:dyDescent="0.2">
      <c r="A271" s="24"/>
      <c r="B271" s="209" t="s">
        <v>329</v>
      </c>
      <c r="C271" s="209"/>
      <c r="D271" s="209"/>
      <c r="E271" s="209"/>
      <c r="F271" s="209"/>
      <c r="G271" s="209"/>
      <c r="H271" s="209"/>
      <c r="I271" s="209"/>
      <c r="J271" s="209"/>
      <c r="K271" s="209"/>
      <c r="L271" s="209"/>
      <c r="N271" s="235"/>
      <c r="O271" s="235"/>
      <c r="P271" s="235"/>
      <c r="Q271" s="235"/>
      <c r="R271" s="235"/>
      <c r="S271" s="235"/>
      <c r="T271" s="235"/>
    </row>
    <row r="272" spans="1:20" s="14" customFormat="1" ht="47.25" x14ac:dyDescent="0.2">
      <c r="A272" s="24"/>
      <c r="B272" s="17" t="s">
        <v>330</v>
      </c>
      <c r="C272" s="30">
        <f>SUM(D272:F272)</f>
        <v>2590.1579999999999</v>
      </c>
      <c r="D272" s="31">
        <f>291.667+527.52+1142.511+120+508.46</f>
        <v>2590.1579999999999</v>
      </c>
      <c r="E272" s="31">
        <v>0</v>
      </c>
      <c r="F272" s="31">
        <v>0</v>
      </c>
      <c r="G272" s="30">
        <f>SUM(H272:J272)</f>
        <v>2375.2109999999998</v>
      </c>
      <c r="H272" s="31">
        <f>80+1035.98+1141.483+117.748</f>
        <v>2375.2109999999998</v>
      </c>
      <c r="I272" s="31">
        <v>0</v>
      </c>
      <c r="J272" s="31">
        <v>0</v>
      </c>
      <c r="K272" s="20">
        <f>G272/C272</f>
        <v>0.91701394277878023</v>
      </c>
      <c r="L272" s="24" t="s">
        <v>401</v>
      </c>
      <c r="N272" s="235"/>
      <c r="O272" s="240"/>
      <c r="P272" s="235"/>
      <c r="Q272" s="235"/>
      <c r="R272" s="235"/>
      <c r="S272" s="235"/>
      <c r="T272" s="235"/>
    </row>
    <row r="273" spans="1:20" s="2" customFormat="1" x14ac:dyDescent="0.25">
      <c r="A273" s="28" t="s">
        <v>331</v>
      </c>
      <c r="B273" s="208" t="s">
        <v>332</v>
      </c>
      <c r="C273" s="208"/>
      <c r="D273" s="208"/>
      <c r="E273" s="208"/>
      <c r="F273" s="208"/>
      <c r="G273" s="208"/>
      <c r="H273" s="208"/>
      <c r="I273" s="208"/>
      <c r="J273" s="208"/>
      <c r="K273" s="208"/>
      <c r="L273" s="208"/>
      <c r="N273" s="234"/>
      <c r="O273" s="234"/>
      <c r="P273" s="234"/>
      <c r="Q273" s="234"/>
      <c r="R273" s="234"/>
      <c r="S273" s="234"/>
      <c r="T273" s="234"/>
    </row>
    <row r="274" spans="1:20" s="14" customFormat="1" ht="34.700000000000003" customHeight="1" x14ac:dyDescent="0.2">
      <c r="A274" s="24"/>
      <c r="B274" s="17" t="s">
        <v>333</v>
      </c>
      <c r="C274" s="18">
        <f>SUM(D274+E274)</f>
        <v>57598.445</v>
      </c>
      <c r="D274" s="19">
        <f>D275+D278</f>
        <v>57407.345000000001</v>
      </c>
      <c r="E274" s="19">
        <f>E275+E278</f>
        <v>191.1</v>
      </c>
      <c r="F274" s="19">
        <f>F275+F278</f>
        <v>0</v>
      </c>
      <c r="G274" s="18">
        <f>I274+J274+H274</f>
        <v>53281.637999999999</v>
      </c>
      <c r="H274" s="19">
        <f>H275+H278</f>
        <v>53109.716</v>
      </c>
      <c r="I274" s="19">
        <f>I275+I278</f>
        <v>171.922</v>
      </c>
      <c r="J274" s="19">
        <f>SUM(J277)</f>
        <v>0</v>
      </c>
      <c r="K274" s="20">
        <f>G274/C274</f>
        <v>0.92505341073009872</v>
      </c>
      <c r="L274" s="24"/>
      <c r="N274" s="235"/>
      <c r="O274" s="235"/>
      <c r="P274" s="235"/>
      <c r="Q274" s="235"/>
      <c r="R274" s="235"/>
      <c r="S274" s="235"/>
      <c r="T274" s="235"/>
    </row>
    <row r="275" spans="1:20" s="14" customFormat="1" ht="54" customHeight="1" x14ac:dyDescent="0.2">
      <c r="A275" s="24"/>
      <c r="B275" s="17" t="s">
        <v>334</v>
      </c>
      <c r="C275" s="18">
        <f>SUM(D275+E275)</f>
        <v>38192.716</v>
      </c>
      <c r="D275" s="19">
        <f>945.247+37247.469</f>
        <v>38192.716</v>
      </c>
      <c r="E275" s="19">
        <v>0</v>
      </c>
      <c r="F275" s="19">
        <f>SUM(F278)</f>
        <v>0</v>
      </c>
      <c r="G275" s="18">
        <f>I275+J275+H275</f>
        <v>35267.457000000002</v>
      </c>
      <c r="H275" s="201">
        <f>35232.457+35</f>
        <v>35267.457000000002</v>
      </c>
      <c r="I275" s="19">
        <v>0</v>
      </c>
      <c r="J275" s="19">
        <f>SUM(J278)</f>
        <v>0</v>
      </c>
      <c r="K275" s="20">
        <f>G275/C275</f>
        <v>0.92340793464387294</v>
      </c>
      <c r="L275" s="141" t="s">
        <v>402</v>
      </c>
      <c r="N275" s="235"/>
      <c r="O275" s="235"/>
      <c r="P275" s="235"/>
      <c r="Q275" s="235"/>
      <c r="R275" s="235"/>
      <c r="S275" s="235"/>
      <c r="T275" s="235"/>
    </row>
    <row r="276" spans="1:20" s="2" customFormat="1" x14ac:dyDescent="0.25">
      <c r="A276" s="23"/>
      <c r="B276" s="202" t="s">
        <v>335</v>
      </c>
      <c r="C276" s="202"/>
      <c r="D276" s="202"/>
      <c r="E276" s="202"/>
      <c r="F276" s="202"/>
      <c r="G276" s="202"/>
      <c r="H276" s="202"/>
      <c r="I276" s="202"/>
      <c r="J276" s="202"/>
      <c r="K276" s="202"/>
      <c r="L276" s="202"/>
      <c r="N276" s="234"/>
      <c r="O276" s="234"/>
      <c r="P276" s="234"/>
      <c r="Q276" s="234"/>
      <c r="R276" s="234"/>
      <c r="S276" s="234"/>
      <c r="T276" s="234"/>
    </row>
    <row r="277" spans="1:20" s="2" customFormat="1" x14ac:dyDescent="0.2">
      <c r="A277" s="24"/>
      <c r="B277" s="211" t="s">
        <v>336</v>
      </c>
      <c r="C277" s="211"/>
      <c r="D277" s="211"/>
      <c r="E277" s="211"/>
      <c r="F277" s="211"/>
      <c r="G277" s="211"/>
      <c r="H277" s="211"/>
      <c r="I277" s="211"/>
      <c r="J277" s="211"/>
      <c r="K277" s="211"/>
      <c r="L277" s="211"/>
      <c r="N277" s="234"/>
      <c r="O277" s="234"/>
      <c r="P277" s="234"/>
      <c r="Q277" s="234"/>
      <c r="R277" s="234"/>
      <c r="S277" s="234"/>
      <c r="T277" s="234"/>
    </row>
    <row r="278" spans="1:20" s="14" customFormat="1" ht="80.25" customHeight="1" x14ac:dyDescent="0.2">
      <c r="A278" s="24"/>
      <c r="B278" s="17" t="s">
        <v>337</v>
      </c>
      <c r="C278" s="18">
        <f>SUM(D278:F278)</f>
        <v>19405.728999999999</v>
      </c>
      <c r="D278" s="19">
        <f>10014.696+35+1406+7741.305+17.628</f>
        <v>19214.629000000001</v>
      </c>
      <c r="E278" s="19">
        <v>191.1</v>
      </c>
      <c r="F278" s="19">
        <v>0</v>
      </c>
      <c r="G278" s="18">
        <f>SUM(H278:J278)</f>
        <v>18014.181</v>
      </c>
      <c r="H278" s="19">
        <f>6949.804+1220.916+29+9642.539</f>
        <v>17842.259000000002</v>
      </c>
      <c r="I278" s="19">
        <v>171.922</v>
      </c>
      <c r="J278" s="19">
        <v>0</v>
      </c>
      <c r="K278" s="72">
        <f>G278/C278</f>
        <v>0.9282918977174216</v>
      </c>
      <c r="L278" s="162" t="s">
        <v>403</v>
      </c>
      <c r="N278" s="242"/>
      <c r="O278" s="235"/>
      <c r="P278" s="235"/>
      <c r="Q278" s="235"/>
      <c r="R278" s="235"/>
      <c r="S278" s="235"/>
      <c r="T278" s="235"/>
    </row>
    <row r="279" spans="1:20" s="2" customFormat="1" x14ac:dyDescent="0.25">
      <c r="A279" s="28" t="s">
        <v>339</v>
      </c>
      <c r="B279" s="208" t="s">
        <v>340</v>
      </c>
      <c r="C279" s="208"/>
      <c r="D279" s="208"/>
      <c r="E279" s="208"/>
      <c r="F279" s="208"/>
      <c r="G279" s="208"/>
      <c r="H279" s="208"/>
      <c r="I279" s="208"/>
      <c r="J279" s="208"/>
      <c r="K279" s="208"/>
      <c r="L279" s="208"/>
      <c r="N279" s="234"/>
      <c r="O279" s="234"/>
      <c r="P279" s="234"/>
      <c r="Q279" s="234"/>
      <c r="R279" s="234"/>
      <c r="S279" s="234"/>
      <c r="T279" s="234"/>
    </row>
    <row r="280" spans="1:20" s="14" customFormat="1" ht="43.5" customHeight="1" x14ac:dyDescent="0.2">
      <c r="A280" s="24"/>
      <c r="B280" s="17" t="s">
        <v>341</v>
      </c>
      <c r="C280" s="18">
        <f>D280+E280+F280</f>
        <v>37588.326999999997</v>
      </c>
      <c r="D280" s="19">
        <f>D283+D285+D284</f>
        <v>37588.326999999997</v>
      </c>
      <c r="E280" s="19">
        <f>SUM(E283:E283)</f>
        <v>0</v>
      </c>
      <c r="F280" s="19">
        <f>SUM(F283:F283)</f>
        <v>0</v>
      </c>
      <c r="G280" s="18">
        <f>H280+I280+J280</f>
        <v>32313.345999999998</v>
      </c>
      <c r="H280" s="19">
        <f>H283+H284+H285</f>
        <v>32313.345999999998</v>
      </c>
      <c r="I280" s="19">
        <f>SUM(I283:I283)</f>
        <v>0</v>
      </c>
      <c r="J280" s="19">
        <f>SUM(J283:J283)</f>
        <v>0</v>
      </c>
      <c r="K280" s="20">
        <f>G280/C280</f>
        <v>0.85966438463728378</v>
      </c>
      <c r="L280" s="24"/>
      <c r="N280" s="235"/>
      <c r="O280" s="235"/>
      <c r="P280" s="235"/>
      <c r="Q280" s="235"/>
      <c r="R280" s="235"/>
      <c r="S280" s="235"/>
      <c r="T280" s="235"/>
    </row>
    <row r="281" spans="1:20" s="2" customFormat="1" x14ac:dyDescent="0.25">
      <c r="A281" s="23"/>
      <c r="B281" s="202" t="s">
        <v>342</v>
      </c>
      <c r="C281" s="202"/>
      <c r="D281" s="202"/>
      <c r="E281" s="202"/>
      <c r="F281" s="202"/>
      <c r="G281" s="202"/>
      <c r="H281" s="202"/>
      <c r="I281" s="202"/>
      <c r="J281" s="202"/>
      <c r="K281" s="202"/>
      <c r="L281" s="24"/>
      <c r="N281" s="234"/>
      <c r="O281" s="234"/>
      <c r="P281" s="234"/>
      <c r="Q281" s="234"/>
      <c r="R281" s="234"/>
      <c r="S281" s="234"/>
      <c r="T281" s="234"/>
    </row>
    <row r="282" spans="1:20" s="2" customFormat="1" x14ac:dyDescent="0.25">
      <c r="A282" s="23"/>
      <c r="B282" s="202" t="s">
        <v>343</v>
      </c>
      <c r="C282" s="202"/>
      <c r="D282" s="202"/>
      <c r="E282" s="202"/>
      <c r="F282" s="202"/>
      <c r="G282" s="202"/>
      <c r="H282" s="202"/>
      <c r="I282" s="202"/>
      <c r="J282" s="202"/>
      <c r="K282" s="202"/>
      <c r="L282" s="24"/>
      <c r="N282" s="234"/>
      <c r="O282" s="234"/>
      <c r="P282" s="234"/>
      <c r="Q282" s="234"/>
      <c r="R282" s="234"/>
      <c r="S282" s="234"/>
      <c r="T282" s="234"/>
    </row>
    <row r="283" spans="1:20" s="14" customFormat="1" ht="60.75" customHeight="1" x14ac:dyDescent="0.2">
      <c r="A283" s="24"/>
      <c r="B283" s="17" t="s">
        <v>344</v>
      </c>
      <c r="C283" s="18">
        <f>SUM(D283:F283)</f>
        <v>1759</v>
      </c>
      <c r="D283" s="19">
        <v>1759</v>
      </c>
      <c r="E283" s="19">
        <v>0</v>
      </c>
      <c r="F283" s="19">
        <v>0</v>
      </c>
      <c r="G283" s="18">
        <f>H283+I283+J283</f>
        <v>1759</v>
      </c>
      <c r="H283" s="19">
        <v>1759</v>
      </c>
      <c r="I283" s="19">
        <v>0</v>
      </c>
      <c r="J283" s="19">
        <v>0</v>
      </c>
      <c r="K283" s="72">
        <f>G283/C283</f>
        <v>1</v>
      </c>
      <c r="L283" s="141"/>
      <c r="N283" s="235"/>
      <c r="O283" s="235"/>
      <c r="P283" s="235"/>
      <c r="Q283" s="235"/>
      <c r="R283" s="235"/>
      <c r="S283" s="235"/>
      <c r="T283" s="235"/>
    </row>
    <row r="284" spans="1:20" s="14" customFormat="1" ht="69" customHeight="1" x14ac:dyDescent="0.2">
      <c r="A284" s="24"/>
      <c r="B284" s="17" t="s">
        <v>347</v>
      </c>
      <c r="C284" s="18">
        <f>D284+E284+F284</f>
        <v>9341.3269999999993</v>
      </c>
      <c r="D284" s="19">
        <f>1446.39+7894.937</f>
        <v>9341.3269999999993</v>
      </c>
      <c r="E284" s="19"/>
      <c r="F284" s="19"/>
      <c r="G284" s="18">
        <f>H284+I284+J284</f>
        <v>9010.244999999999</v>
      </c>
      <c r="H284" s="19">
        <f>1445.412+7564.833</f>
        <v>9010.244999999999</v>
      </c>
      <c r="I284" s="19">
        <v>0</v>
      </c>
      <c r="J284" s="19">
        <v>0</v>
      </c>
      <c r="K284" s="72">
        <f>G284/C284</f>
        <v>0.96455728399187823</v>
      </c>
      <c r="L284" s="141"/>
      <c r="N284" s="242"/>
      <c r="O284" s="235"/>
      <c r="P284" s="235"/>
      <c r="Q284" s="235"/>
      <c r="R284" s="235"/>
      <c r="S284" s="235"/>
      <c r="T284" s="235"/>
    </row>
    <row r="285" spans="1:20" s="14" customFormat="1" ht="45" customHeight="1" x14ac:dyDescent="0.2">
      <c r="A285" s="24"/>
      <c r="B285" s="17" t="s">
        <v>349</v>
      </c>
      <c r="C285" s="18">
        <f>D285+E285+F285</f>
        <v>26488</v>
      </c>
      <c r="D285" s="19">
        <f>26488</f>
        <v>26488</v>
      </c>
      <c r="E285" s="19">
        <v>0</v>
      </c>
      <c r="F285" s="19">
        <v>0</v>
      </c>
      <c r="G285" s="18">
        <f>H285+I285+J285</f>
        <v>21544.100999999999</v>
      </c>
      <c r="H285" s="19">
        <f>21544.101</f>
        <v>21544.100999999999</v>
      </c>
      <c r="I285" s="19">
        <v>0</v>
      </c>
      <c r="J285" s="19">
        <v>0</v>
      </c>
      <c r="K285" s="72">
        <f>G285/C285</f>
        <v>0.81335325430383565</v>
      </c>
      <c r="L285" s="24" t="s">
        <v>350</v>
      </c>
      <c r="N285" s="235"/>
      <c r="O285" s="235"/>
      <c r="P285" s="235"/>
      <c r="Q285" s="235"/>
      <c r="R285" s="235"/>
      <c r="S285" s="235"/>
      <c r="T285" s="235"/>
    </row>
    <row r="286" spans="1:20" s="2" customFormat="1" ht="15.75" customHeight="1" x14ac:dyDescent="0.25">
      <c r="A286" s="28" t="s">
        <v>351</v>
      </c>
      <c r="B286" s="203" t="s">
        <v>352</v>
      </c>
      <c r="C286" s="203"/>
      <c r="D286" s="203"/>
      <c r="E286" s="203"/>
      <c r="F286" s="203"/>
      <c r="G286" s="203"/>
      <c r="H286" s="203"/>
      <c r="I286" s="203"/>
      <c r="J286" s="203"/>
      <c r="K286" s="203"/>
      <c r="L286" s="203"/>
      <c r="N286" s="234"/>
      <c r="O286" s="234"/>
      <c r="P286" s="234"/>
      <c r="Q286" s="234"/>
      <c r="R286" s="234"/>
      <c r="S286" s="234"/>
      <c r="T286" s="234"/>
    </row>
    <row r="287" spans="1:20" s="2" customFormat="1" ht="63" x14ac:dyDescent="0.25">
      <c r="A287" s="23"/>
      <c r="B287" s="59" t="s">
        <v>353</v>
      </c>
      <c r="C287" s="30">
        <f>D287+E287+F287</f>
        <v>5</v>
      </c>
      <c r="D287" s="31">
        <f>D291+D293+D290</f>
        <v>5</v>
      </c>
      <c r="E287" s="31">
        <f>E291+E293</f>
        <v>0</v>
      </c>
      <c r="F287" s="31">
        <f>F291+F293</f>
        <v>0</v>
      </c>
      <c r="G287" s="30">
        <f>G291+G293+G290</f>
        <v>5</v>
      </c>
      <c r="H287" s="31">
        <f>H291+H293+H290</f>
        <v>5</v>
      </c>
      <c r="I287" s="31">
        <f>I291+I293</f>
        <v>0</v>
      </c>
      <c r="J287" s="31">
        <f>J291+J293</f>
        <v>0</v>
      </c>
      <c r="K287" s="72">
        <f>G287/C287</f>
        <v>1</v>
      </c>
      <c r="L287" s="24"/>
      <c r="N287" s="234"/>
      <c r="O287" s="234"/>
      <c r="P287" s="234"/>
      <c r="Q287" s="234"/>
      <c r="R287" s="234"/>
      <c r="S287" s="234"/>
      <c r="T287" s="234"/>
    </row>
    <row r="288" spans="1:20" s="2" customFormat="1" ht="15.75" customHeight="1" x14ac:dyDescent="0.25">
      <c r="A288" s="23"/>
      <c r="B288" s="204" t="s">
        <v>354</v>
      </c>
      <c r="C288" s="204"/>
      <c r="D288" s="204"/>
      <c r="E288" s="204"/>
      <c r="F288" s="204"/>
      <c r="G288" s="204"/>
      <c r="H288" s="204"/>
      <c r="I288" s="204"/>
      <c r="J288" s="204"/>
      <c r="K288" s="204"/>
      <c r="L288" s="163"/>
      <c r="N288" s="234"/>
      <c r="O288" s="234"/>
      <c r="P288" s="234"/>
      <c r="Q288" s="234"/>
      <c r="R288" s="234"/>
      <c r="S288" s="234"/>
      <c r="T288" s="234"/>
    </row>
    <row r="289" spans="1:20" s="2" customFormat="1" ht="37.5" customHeight="1" x14ac:dyDescent="0.25">
      <c r="A289" s="23"/>
      <c r="B289" s="204" t="s">
        <v>355</v>
      </c>
      <c r="C289" s="204"/>
      <c r="D289" s="204"/>
      <c r="E289" s="204"/>
      <c r="F289" s="204"/>
      <c r="G289" s="204"/>
      <c r="H289" s="204"/>
      <c r="I289" s="204"/>
      <c r="J289" s="204"/>
      <c r="K289" s="204"/>
      <c r="L289" s="163"/>
      <c r="N289" s="234"/>
      <c r="O289" s="234"/>
      <c r="P289" s="234"/>
      <c r="Q289" s="234"/>
      <c r="R289" s="234"/>
      <c r="S289" s="234"/>
      <c r="T289" s="234"/>
    </row>
    <row r="290" spans="1:20" s="2" customFormat="1" ht="53.25" customHeight="1" x14ac:dyDescent="0.25">
      <c r="A290" s="23"/>
      <c r="B290" s="17" t="s">
        <v>356</v>
      </c>
      <c r="C290" s="30">
        <f>SUM(D290:F290)</f>
        <v>5</v>
      </c>
      <c r="D290" s="31">
        <v>5</v>
      </c>
      <c r="E290" s="31">
        <v>0</v>
      </c>
      <c r="F290" s="31">
        <v>0</v>
      </c>
      <c r="G290" s="30">
        <f>SUM(H290:J290)</f>
        <v>5</v>
      </c>
      <c r="H290" s="31">
        <v>5</v>
      </c>
      <c r="I290" s="31">
        <v>0</v>
      </c>
      <c r="J290" s="31">
        <v>0</v>
      </c>
      <c r="K290" s="72">
        <f>G290/C290</f>
        <v>1</v>
      </c>
      <c r="L290" s="24"/>
      <c r="N290" s="234"/>
      <c r="O290" s="234"/>
      <c r="P290" s="234"/>
      <c r="Q290" s="234"/>
      <c r="R290" s="234"/>
      <c r="S290" s="234"/>
      <c r="T290" s="234"/>
    </row>
    <row r="291" spans="1:20" s="14" customFormat="1" ht="51" customHeight="1" x14ac:dyDescent="0.2">
      <c r="A291" s="24"/>
      <c r="B291" s="17" t="s">
        <v>357</v>
      </c>
      <c r="C291" s="30">
        <f>SUM(D291:F291)</f>
        <v>0</v>
      </c>
      <c r="D291" s="31">
        <v>0</v>
      </c>
      <c r="E291" s="31">
        <v>0</v>
      </c>
      <c r="F291" s="31">
        <v>0</v>
      </c>
      <c r="G291" s="30">
        <f>SUM(H291:J291)</f>
        <v>0</v>
      </c>
      <c r="H291" s="31">
        <v>0</v>
      </c>
      <c r="I291" s="31">
        <v>0</v>
      </c>
      <c r="J291" s="31">
        <v>0</v>
      </c>
      <c r="K291" s="72">
        <v>0</v>
      </c>
      <c r="L291" s="24"/>
      <c r="N291" s="235"/>
      <c r="O291" s="235"/>
      <c r="P291" s="235"/>
      <c r="Q291" s="235"/>
      <c r="R291" s="235"/>
      <c r="S291" s="235"/>
      <c r="T291" s="235"/>
    </row>
    <row r="292" spans="1:20" s="14" customFormat="1" ht="47.25" x14ac:dyDescent="0.2">
      <c r="A292" s="24"/>
      <c r="B292" s="17" t="s">
        <v>358</v>
      </c>
      <c r="C292" s="30">
        <f>SUM(D292:F292)</f>
        <v>0</v>
      </c>
      <c r="D292" s="31">
        <v>0</v>
      </c>
      <c r="E292" s="31">
        <v>0</v>
      </c>
      <c r="F292" s="31">
        <v>0</v>
      </c>
      <c r="G292" s="30">
        <f>SUM(H292:J292)</f>
        <v>0</v>
      </c>
      <c r="H292" s="31">
        <v>0</v>
      </c>
      <c r="I292" s="31">
        <v>0</v>
      </c>
      <c r="J292" s="31">
        <v>0</v>
      </c>
      <c r="K292" s="72">
        <v>0</v>
      </c>
      <c r="L292" s="24"/>
      <c r="N292" s="235"/>
      <c r="O292" s="235"/>
      <c r="P292" s="235"/>
      <c r="Q292" s="235"/>
      <c r="R292" s="235"/>
      <c r="S292" s="235"/>
      <c r="T292" s="235"/>
    </row>
    <row r="293" spans="1:20" s="14" customFormat="1" ht="31.5" x14ac:dyDescent="0.2">
      <c r="A293" s="24"/>
      <c r="B293" s="17" t="s">
        <v>359</v>
      </c>
      <c r="C293" s="30">
        <f>SUM(D293:F293)</f>
        <v>0</v>
      </c>
      <c r="D293" s="31">
        <v>0</v>
      </c>
      <c r="E293" s="31">
        <v>0</v>
      </c>
      <c r="F293" s="31">
        <v>0</v>
      </c>
      <c r="G293" s="30">
        <f>SUM(H293:J293)</f>
        <v>0</v>
      </c>
      <c r="H293" s="31">
        <v>0</v>
      </c>
      <c r="I293" s="31">
        <v>0</v>
      </c>
      <c r="J293" s="31">
        <v>0</v>
      </c>
      <c r="K293" s="72">
        <v>0</v>
      </c>
      <c r="L293" s="24"/>
      <c r="N293" s="235"/>
      <c r="O293" s="235"/>
      <c r="P293" s="235"/>
      <c r="Q293" s="235"/>
      <c r="R293" s="235"/>
      <c r="S293" s="235"/>
      <c r="T293" s="235"/>
    </row>
    <row r="294" spans="1:20" s="14" customFormat="1" ht="117" customHeight="1" x14ac:dyDescent="0.2">
      <c r="A294" s="8" t="s">
        <v>360</v>
      </c>
      <c r="B294" s="9" t="s">
        <v>361</v>
      </c>
      <c r="C294" s="164">
        <f t="shared" ref="C294:J294" si="6">C295+C296+C297</f>
        <v>2218.4920000000002</v>
      </c>
      <c r="D294" s="164">
        <f t="shared" si="6"/>
        <v>554.62300000000005</v>
      </c>
      <c r="E294" s="164">
        <f t="shared" si="6"/>
        <v>1255.1959999999999</v>
      </c>
      <c r="F294" s="164">
        <f t="shared" si="6"/>
        <v>408.673</v>
      </c>
      <c r="G294" s="164">
        <f t="shared" si="6"/>
        <v>2218.4920000000002</v>
      </c>
      <c r="H294" s="164">
        <f t="shared" si="6"/>
        <v>554.62300000000005</v>
      </c>
      <c r="I294" s="164">
        <f t="shared" si="6"/>
        <v>1255.1959999999999</v>
      </c>
      <c r="J294" s="164">
        <f t="shared" si="6"/>
        <v>408.673</v>
      </c>
      <c r="K294" s="165">
        <f>G294/C294</f>
        <v>1</v>
      </c>
      <c r="L294" s="8"/>
      <c r="N294" s="235"/>
      <c r="O294" s="235"/>
      <c r="P294" s="235"/>
      <c r="Q294" s="235"/>
      <c r="R294" s="235"/>
      <c r="S294" s="235"/>
      <c r="T294" s="235"/>
    </row>
    <row r="295" spans="1:20" s="14" customFormat="1" ht="63" x14ac:dyDescent="0.2">
      <c r="A295" s="24"/>
      <c r="B295" s="17" t="s">
        <v>362</v>
      </c>
      <c r="C295" s="30">
        <f>SUM(D295:F295)</f>
        <v>0</v>
      </c>
      <c r="D295" s="31">
        <v>0</v>
      </c>
      <c r="E295" s="31">
        <v>0</v>
      </c>
      <c r="F295" s="31">
        <v>0</v>
      </c>
      <c r="G295" s="30">
        <f>SUM(H295:J295)</f>
        <v>0</v>
      </c>
      <c r="H295" s="31">
        <v>0</v>
      </c>
      <c r="I295" s="31">
        <v>0</v>
      </c>
      <c r="J295" s="31">
        <v>0</v>
      </c>
      <c r="K295" s="72">
        <v>0</v>
      </c>
      <c r="L295" s="24"/>
      <c r="N295" s="235"/>
      <c r="O295" s="235"/>
      <c r="P295" s="235"/>
      <c r="Q295" s="235"/>
      <c r="R295" s="235"/>
      <c r="S295" s="235"/>
      <c r="T295" s="235"/>
    </row>
    <row r="296" spans="1:20" s="14" customFormat="1" ht="63" x14ac:dyDescent="0.2">
      <c r="A296" s="24"/>
      <c r="B296" s="17" t="s">
        <v>363</v>
      </c>
      <c r="C296" s="30">
        <f>SUM(D296:F296)</f>
        <v>2218.4920000000002</v>
      </c>
      <c r="D296" s="31">
        <v>554.62300000000005</v>
      </c>
      <c r="E296" s="31">
        <v>1255.1959999999999</v>
      </c>
      <c r="F296" s="31">
        <v>408.673</v>
      </c>
      <c r="G296" s="30">
        <f>SUM(H296:J296)</f>
        <v>2218.4920000000002</v>
      </c>
      <c r="H296" s="31">
        <v>554.62300000000005</v>
      </c>
      <c r="I296" s="31">
        <v>1255.1959999999999</v>
      </c>
      <c r="J296" s="31">
        <v>408.673</v>
      </c>
      <c r="K296" s="72">
        <f>G296/C296</f>
        <v>1</v>
      </c>
      <c r="L296" s="24"/>
      <c r="N296" s="235"/>
      <c r="O296" s="235"/>
      <c r="P296" s="235"/>
      <c r="Q296" s="235"/>
      <c r="R296" s="235"/>
      <c r="S296" s="235"/>
      <c r="T296" s="235"/>
    </row>
    <row r="297" spans="1:20" s="14" customFormat="1" ht="47.25" x14ac:dyDescent="0.2">
      <c r="A297" s="24"/>
      <c r="B297" s="17" t="s">
        <v>364</v>
      </c>
      <c r="C297" s="30">
        <f>SUM(D297:F297)</f>
        <v>0</v>
      </c>
      <c r="D297" s="31">
        <v>0</v>
      </c>
      <c r="E297" s="31">
        <v>0</v>
      </c>
      <c r="F297" s="31">
        <v>0</v>
      </c>
      <c r="G297" s="30">
        <f>SUM(H297:J297)</f>
        <v>0</v>
      </c>
      <c r="H297" s="31">
        <v>0</v>
      </c>
      <c r="I297" s="31">
        <v>0</v>
      </c>
      <c r="J297" s="31">
        <v>0</v>
      </c>
      <c r="K297" s="72">
        <v>0</v>
      </c>
      <c r="L297" s="24"/>
      <c r="N297" s="235"/>
      <c r="O297" s="235"/>
      <c r="P297" s="235"/>
      <c r="Q297" s="235"/>
      <c r="R297" s="235"/>
      <c r="S297" s="235"/>
      <c r="T297" s="235"/>
    </row>
    <row r="298" spans="1:20" s="128" customFormat="1" ht="147.75" customHeight="1" x14ac:dyDescent="0.2">
      <c r="A298" s="8">
        <v>8</v>
      </c>
      <c r="B298" s="9" t="s">
        <v>365</v>
      </c>
      <c r="C298" s="166">
        <f>SUM(C301,C302,C303)</f>
        <v>200</v>
      </c>
      <c r="D298" s="166">
        <f>SUM(D301,D302,D303)</f>
        <v>200</v>
      </c>
      <c r="E298" s="166">
        <f>SUM(E301,E302,E303)</f>
        <v>0</v>
      </c>
      <c r="F298" s="166">
        <f>SUM(F301,F302,F303)</f>
        <v>0</v>
      </c>
      <c r="G298" s="166">
        <f>SUM(G301:G303)</f>
        <v>156.69999999999999</v>
      </c>
      <c r="H298" s="166">
        <f>SUM(H301,H302,H303)</f>
        <v>156.69999999999999</v>
      </c>
      <c r="I298" s="166">
        <f>SUM(I301,I302,I303)</f>
        <v>0</v>
      </c>
      <c r="J298" s="166">
        <f>SUM(J301,J302,J303)</f>
        <v>0</v>
      </c>
      <c r="K298" s="165">
        <f>G298/C298</f>
        <v>0.78349999999999997</v>
      </c>
      <c r="L298" s="126"/>
      <c r="N298" s="250"/>
      <c r="O298" s="250"/>
      <c r="P298" s="250"/>
      <c r="Q298" s="250"/>
      <c r="R298" s="250"/>
      <c r="S298" s="250"/>
      <c r="T298" s="250"/>
    </row>
    <row r="299" spans="1:20" s="128" customFormat="1" ht="18.75" customHeight="1" x14ac:dyDescent="0.25">
      <c r="A299" s="28"/>
      <c r="B299" s="205" t="s">
        <v>366</v>
      </c>
      <c r="C299" s="205"/>
      <c r="D299" s="205"/>
      <c r="E299" s="205"/>
      <c r="F299" s="205"/>
      <c r="G299" s="205"/>
      <c r="H299" s="205"/>
      <c r="I299" s="205"/>
      <c r="J299" s="205"/>
      <c r="K299" s="205"/>
      <c r="L299" s="167"/>
      <c r="N299" s="250"/>
      <c r="O299" s="250"/>
      <c r="P299" s="250"/>
      <c r="Q299" s="250"/>
      <c r="R299" s="250"/>
      <c r="S299" s="250"/>
      <c r="T299" s="250"/>
    </row>
    <row r="300" spans="1:20" s="128" customFormat="1" ht="33" customHeight="1" x14ac:dyDescent="0.25">
      <c r="A300" s="168"/>
      <c r="B300" s="206" t="s">
        <v>367</v>
      </c>
      <c r="C300" s="206"/>
      <c r="D300" s="206"/>
      <c r="E300" s="206"/>
      <c r="F300" s="206"/>
      <c r="G300" s="206"/>
      <c r="H300" s="206"/>
      <c r="I300" s="206"/>
      <c r="J300" s="206"/>
      <c r="K300" s="206"/>
      <c r="L300" s="130"/>
      <c r="N300" s="250"/>
      <c r="O300" s="250"/>
      <c r="P300" s="250"/>
      <c r="Q300" s="250"/>
      <c r="R300" s="250"/>
      <c r="S300" s="250"/>
      <c r="T300" s="250"/>
    </row>
    <row r="301" spans="1:20" s="128" customFormat="1" ht="65.25" customHeight="1" x14ac:dyDescent="0.25">
      <c r="A301" s="168"/>
      <c r="B301" s="17" t="s">
        <v>368</v>
      </c>
      <c r="C301" s="75">
        <f>SUM(D301:F301)</f>
        <v>0</v>
      </c>
      <c r="D301" s="76">
        <v>0</v>
      </c>
      <c r="E301" s="76"/>
      <c r="F301" s="76"/>
      <c r="G301" s="75">
        <f>SUM(H301:J301)</f>
        <v>0</v>
      </c>
      <c r="H301" s="76">
        <v>0</v>
      </c>
      <c r="I301" s="76">
        <v>0</v>
      </c>
      <c r="J301" s="76">
        <v>0</v>
      </c>
      <c r="K301" s="62">
        <v>0</v>
      </c>
      <c r="L301" s="130"/>
      <c r="N301" s="250"/>
      <c r="O301" s="250"/>
      <c r="P301" s="250"/>
      <c r="Q301" s="250"/>
      <c r="R301" s="250"/>
      <c r="S301" s="250"/>
      <c r="T301" s="250"/>
    </row>
    <row r="302" spans="1:20" s="128" customFormat="1" ht="52.5" customHeight="1" x14ac:dyDescent="0.25">
      <c r="A302" s="103"/>
      <c r="B302" s="134" t="s">
        <v>369</v>
      </c>
      <c r="C302" s="75">
        <f>SUM(D302:F302)</f>
        <v>0</v>
      </c>
      <c r="D302" s="76">
        <v>0</v>
      </c>
      <c r="E302" s="76"/>
      <c r="F302" s="76"/>
      <c r="G302" s="75">
        <f>SUM(H302:J302)</f>
        <v>0</v>
      </c>
      <c r="H302" s="76">
        <v>0</v>
      </c>
      <c r="I302" s="76">
        <v>0</v>
      </c>
      <c r="J302" s="76">
        <v>0</v>
      </c>
      <c r="K302" s="62">
        <v>0</v>
      </c>
      <c r="L302" s="130"/>
      <c r="N302" s="250"/>
      <c r="O302" s="250"/>
      <c r="P302" s="250"/>
      <c r="Q302" s="250"/>
      <c r="R302" s="250"/>
      <c r="S302" s="250"/>
      <c r="T302" s="250"/>
    </row>
    <row r="303" spans="1:20" s="128" customFormat="1" ht="96" customHeight="1" x14ac:dyDescent="0.25">
      <c r="A303" s="103"/>
      <c r="B303" s="17" t="s">
        <v>370</v>
      </c>
      <c r="C303" s="75">
        <f>SUM(D303:F303)</f>
        <v>200</v>
      </c>
      <c r="D303" s="76">
        <v>200</v>
      </c>
      <c r="E303" s="76"/>
      <c r="F303" s="76"/>
      <c r="G303" s="75">
        <f>SUM(H303:J303)</f>
        <v>156.69999999999999</v>
      </c>
      <c r="H303" s="76">
        <v>156.69999999999999</v>
      </c>
      <c r="I303" s="76">
        <v>0</v>
      </c>
      <c r="J303" s="76">
        <v>0</v>
      </c>
      <c r="K303" s="62">
        <f>G303/C303</f>
        <v>0.78349999999999997</v>
      </c>
      <c r="L303" s="141" t="s">
        <v>371</v>
      </c>
      <c r="N303" s="256"/>
      <c r="O303" s="250"/>
      <c r="P303" s="250"/>
      <c r="Q303" s="250"/>
      <c r="R303" s="250"/>
      <c r="S303" s="250"/>
      <c r="T303" s="250"/>
    </row>
    <row r="304" spans="1:20" s="2" customFormat="1" x14ac:dyDescent="0.25">
      <c r="A304" s="23"/>
      <c r="B304" s="103"/>
      <c r="C304" s="170"/>
      <c r="D304" s="171"/>
      <c r="E304" s="171"/>
      <c r="F304" s="171"/>
      <c r="G304" s="170"/>
      <c r="H304" s="171"/>
      <c r="I304" s="171"/>
      <c r="J304" s="171"/>
      <c r="K304" s="172"/>
      <c r="L304" s="24"/>
      <c r="N304" s="234"/>
      <c r="O304" s="234"/>
      <c r="P304" s="234"/>
      <c r="Q304" s="234"/>
      <c r="R304" s="234"/>
      <c r="S304" s="234"/>
      <c r="T304" s="234"/>
    </row>
    <row r="305" spans="1:20" s="2" customFormat="1" x14ac:dyDescent="0.25">
      <c r="A305" s="173"/>
      <c r="B305" s="174" t="s">
        <v>372</v>
      </c>
      <c r="C305" s="175">
        <f>D305+E305+F305</f>
        <v>844043.09338999994</v>
      </c>
      <c r="D305" s="175">
        <f>D294+D253+D217+D152+D94+D49+D11+D298</f>
        <v>427412.43238999997</v>
      </c>
      <c r="E305" s="175">
        <f>E11+E49+E94+E152+E217+E253+E294</f>
        <v>343830.18799999997</v>
      </c>
      <c r="F305" s="175">
        <f>F11+F49+F94+F152+F217+F253+F294</f>
        <v>72800.472999999998</v>
      </c>
      <c r="G305" s="175">
        <f>H305+I305+J305</f>
        <v>743598.11199999996</v>
      </c>
      <c r="H305" s="175">
        <f>H11+H49+H94+H152+H217+H253+H294+H298</f>
        <v>392314.00900000002</v>
      </c>
      <c r="I305" s="175">
        <f>I11+I49+I94+I152+I217+I253+I294</f>
        <v>343259.52999999997</v>
      </c>
      <c r="J305" s="175">
        <f>J11+J49+J94+J152+J217+J253+J294</f>
        <v>8024.5729999999994</v>
      </c>
      <c r="K305" s="176">
        <f>G305/C305</f>
        <v>0.88099543473950537</v>
      </c>
      <c r="L305" s="177"/>
      <c r="N305" s="234"/>
      <c r="O305" s="234"/>
      <c r="P305" s="234"/>
      <c r="Q305" s="234"/>
      <c r="R305" s="234"/>
      <c r="S305" s="234"/>
      <c r="T305" s="234"/>
    </row>
    <row r="306" spans="1:20" s="2" customFormat="1" x14ac:dyDescent="0.25">
      <c r="A306" s="5"/>
      <c r="B306" s="178"/>
      <c r="C306" s="179"/>
      <c r="D306" s="179"/>
      <c r="E306" s="179"/>
      <c r="F306" s="179"/>
      <c r="G306" s="179"/>
      <c r="H306" s="179"/>
      <c r="I306" s="179"/>
      <c r="J306" s="179"/>
      <c r="K306" s="180"/>
      <c r="L306" s="181"/>
      <c r="N306" s="234"/>
      <c r="O306" s="234"/>
      <c r="P306" s="234"/>
      <c r="Q306" s="234"/>
      <c r="R306" s="234"/>
      <c r="S306" s="234"/>
      <c r="T306" s="234"/>
    </row>
    <row r="307" spans="1:20" x14ac:dyDescent="0.25">
      <c r="B307" s="207"/>
      <c r="C307" s="207"/>
      <c r="D307" s="179"/>
      <c r="E307" s="179"/>
      <c r="F307" s="179"/>
      <c r="G307" s="179"/>
      <c r="H307" s="182"/>
      <c r="I307" s="182"/>
      <c r="J307" s="182"/>
      <c r="K307" s="183"/>
      <c r="L307" s="184"/>
      <c r="N307" s="234"/>
      <c r="O307" s="234"/>
      <c r="P307" s="234"/>
      <c r="Q307" s="234"/>
      <c r="R307" s="234"/>
      <c r="S307" s="234"/>
      <c r="T307" s="234"/>
    </row>
    <row r="308" spans="1:20" x14ac:dyDescent="0.25">
      <c r="B308" s="207" t="s">
        <v>373</v>
      </c>
      <c r="C308" s="207"/>
      <c r="D308" s="179"/>
      <c r="E308" s="179"/>
      <c r="F308" s="179"/>
      <c r="G308" s="179"/>
      <c r="H308" s="182" t="s">
        <v>374</v>
      </c>
      <c r="I308" s="182"/>
      <c r="J308" s="182"/>
      <c r="K308" s="183"/>
      <c r="L308" s="184"/>
      <c r="N308" s="234"/>
      <c r="O308" s="234"/>
      <c r="P308" s="234"/>
      <c r="Q308" s="234"/>
      <c r="R308" s="234"/>
      <c r="S308" s="234"/>
      <c r="T308" s="234"/>
    </row>
    <row r="309" spans="1:20" x14ac:dyDescent="0.25">
      <c r="B309" s="185"/>
      <c r="C309" s="179"/>
      <c r="D309" s="179"/>
      <c r="E309" s="179"/>
      <c r="F309" s="179"/>
      <c r="G309" s="179"/>
      <c r="H309" s="182"/>
      <c r="I309" s="182"/>
      <c r="J309" s="182"/>
      <c r="K309" s="183"/>
      <c r="L309" s="184"/>
      <c r="N309" s="234"/>
      <c r="O309" s="234"/>
      <c r="P309" s="234"/>
      <c r="Q309" s="234"/>
      <c r="R309" s="234"/>
      <c r="S309" s="234"/>
      <c r="T309" s="234"/>
    </row>
    <row r="310" spans="1:20" x14ac:dyDescent="0.25">
      <c r="B310" s="185"/>
      <c r="C310" s="179"/>
      <c r="D310" s="179"/>
      <c r="E310" s="179"/>
      <c r="F310" s="179"/>
      <c r="G310" s="179"/>
      <c r="H310" s="182"/>
      <c r="I310" s="182"/>
      <c r="J310" s="182"/>
      <c r="K310" s="183"/>
      <c r="L310" s="184"/>
      <c r="N310" s="234"/>
      <c r="O310" s="234"/>
      <c r="P310" s="234"/>
      <c r="Q310" s="234"/>
      <c r="R310" s="234"/>
      <c r="S310" s="234"/>
      <c r="T310" s="234"/>
    </row>
    <row r="311" spans="1:20" x14ac:dyDescent="0.25">
      <c r="B311" s="185" t="s">
        <v>375</v>
      </c>
      <c r="C311" s="179"/>
      <c r="D311" s="179"/>
      <c r="E311" s="179"/>
      <c r="F311" s="179"/>
      <c r="G311" s="179"/>
      <c r="H311" s="182" t="s">
        <v>376</v>
      </c>
      <c r="I311" s="182"/>
      <c r="J311" s="182"/>
      <c r="K311" s="183"/>
      <c r="L311" s="184"/>
      <c r="N311" s="234"/>
      <c r="O311" s="234"/>
      <c r="P311" s="234"/>
      <c r="Q311" s="234"/>
      <c r="R311" s="234"/>
      <c r="S311" s="234"/>
      <c r="T311" s="234"/>
    </row>
    <row r="312" spans="1:20" x14ac:dyDescent="0.25">
      <c r="B312" s="185"/>
      <c r="C312" s="179"/>
      <c r="D312" s="179"/>
      <c r="E312" s="179"/>
      <c r="F312" s="179"/>
      <c r="G312" s="179"/>
      <c r="H312" s="182"/>
      <c r="I312" s="182"/>
      <c r="J312" s="182"/>
      <c r="K312" s="183"/>
      <c r="L312" s="184"/>
      <c r="N312" s="234"/>
      <c r="O312" s="234"/>
      <c r="P312" s="234"/>
      <c r="Q312" s="234"/>
      <c r="R312" s="234"/>
      <c r="S312" s="234"/>
      <c r="T312" s="234"/>
    </row>
    <row r="313" spans="1:20" x14ac:dyDescent="0.25">
      <c r="B313" s="185"/>
      <c r="C313" s="179"/>
      <c r="D313" s="179"/>
      <c r="E313" s="179"/>
      <c r="F313" s="179"/>
      <c r="G313" s="179"/>
      <c r="H313" s="182"/>
      <c r="I313" s="182"/>
      <c r="J313" s="182"/>
      <c r="K313" s="183"/>
      <c r="L313" s="184"/>
      <c r="N313" s="234"/>
      <c r="O313" s="234"/>
      <c r="P313" s="234"/>
      <c r="Q313" s="234"/>
      <c r="R313" s="234"/>
      <c r="S313" s="234"/>
      <c r="T313" s="234"/>
    </row>
    <row r="314" spans="1:20" x14ac:dyDescent="0.25">
      <c r="B314" s="185" t="s">
        <v>377</v>
      </c>
      <c r="C314" s="179"/>
      <c r="D314" s="179"/>
      <c r="E314" s="179"/>
      <c r="F314" s="179"/>
      <c r="G314" s="179"/>
      <c r="H314" s="182"/>
      <c r="I314" s="182"/>
      <c r="J314" s="182"/>
      <c r="K314" s="183"/>
      <c r="L314" s="184"/>
      <c r="N314" s="234"/>
      <c r="O314" s="234"/>
      <c r="P314" s="234"/>
      <c r="Q314" s="234"/>
      <c r="R314" s="234"/>
      <c r="S314" s="234"/>
      <c r="T314" s="234"/>
    </row>
    <row r="315" spans="1:20" x14ac:dyDescent="0.25">
      <c r="B315" s="185"/>
      <c r="C315" s="179"/>
      <c r="D315" s="179"/>
      <c r="E315" s="179"/>
      <c r="F315" s="179"/>
      <c r="G315" s="179"/>
      <c r="H315" s="182"/>
      <c r="I315" s="182"/>
      <c r="J315" s="182"/>
      <c r="K315" s="183"/>
      <c r="L315" s="184"/>
      <c r="N315" s="234"/>
      <c r="O315" s="234"/>
      <c r="P315" s="234"/>
      <c r="Q315" s="234"/>
      <c r="R315" s="234"/>
      <c r="S315" s="234"/>
      <c r="T315" s="234"/>
    </row>
    <row r="316" spans="1:20" x14ac:dyDescent="0.25">
      <c r="B316" s="185"/>
      <c r="C316" s="179"/>
      <c r="D316" s="179"/>
      <c r="E316" s="179"/>
      <c r="F316" s="179"/>
      <c r="G316" s="179"/>
      <c r="H316" s="182"/>
      <c r="I316" s="182"/>
      <c r="J316" s="182"/>
      <c r="K316" s="183"/>
      <c r="L316" s="184"/>
      <c r="N316" s="234"/>
      <c r="O316" s="234"/>
      <c r="P316" s="234"/>
      <c r="Q316" s="234"/>
      <c r="R316" s="234"/>
      <c r="S316" s="234"/>
      <c r="T316" s="234"/>
    </row>
    <row r="317" spans="1:20" x14ac:dyDescent="0.25">
      <c r="B317" s="185"/>
      <c r="C317" s="179"/>
      <c r="D317" s="179"/>
      <c r="E317" s="179"/>
      <c r="F317" s="179"/>
      <c r="G317" s="179"/>
      <c r="H317" s="182"/>
      <c r="I317" s="182"/>
      <c r="J317" s="182"/>
      <c r="K317" s="183"/>
      <c r="L317" s="184"/>
      <c r="N317" s="234"/>
      <c r="O317" s="234"/>
      <c r="P317" s="234"/>
      <c r="Q317" s="234"/>
      <c r="R317" s="234"/>
      <c r="S317" s="234"/>
      <c r="T317" s="234"/>
    </row>
    <row r="318" spans="1:20" x14ac:dyDescent="0.25">
      <c r="B318" s="185"/>
      <c r="C318" s="179"/>
      <c r="D318" s="179"/>
      <c r="E318" s="179"/>
      <c r="F318" s="179"/>
      <c r="G318" s="179"/>
      <c r="H318" s="182"/>
      <c r="I318" s="182"/>
      <c r="J318" s="182"/>
      <c r="K318" s="183"/>
      <c r="L318" s="184"/>
      <c r="N318" s="234"/>
      <c r="O318" s="234"/>
      <c r="P318" s="234"/>
      <c r="Q318" s="234"/>
      <c r="R318" s="234"/>
      <c r="S318" s="234"/>
      <c r="T318" s="234"/>
    </row>
    <row r="319" spans="1:20" x14ac:dyDescent="0.25">
      <c r="B319" s="185"/>
      <c r="C319" s="179"/>
      <c r="D319" s="179"/>
      <c r="E319" s="179"/>
      <c r="F319" s="179"/>
      <c r="G319" s="179"/>
      <c r="H319" s="182"/>
      <c r="I319" s="182"/>
      <c r="J319" s="182"/>
      <c r="K319" s="183"/>
      <c r="L319" s="184"/>
      <c r="N319" s="234"/>
      <c r="O319" s="234"/>
      <c r="P319" s="234"/>
      <c r="Q319" s="234"/>
      <c r="R319" s="234"/>
      <c r="S319" s="234"/>
      <c r="T319" s="234"/>
    </row>
    <row r="320" spans="1:20" x14ac:dyDescent="0.25">
      <c r="B320" s="185"/>
      <c r="C320" s="179"/>
      <c r="D320" s="179"/>
      <c r="E320" s="179"/>
      <c r="F320" s="179"/>
      <c r="G320" s="179"/>
      <c r="H320" s="182"/>
      <c r="I320" s="182"/>
      <c r="J320" s="182"/>
      <c r="K320" s="183"/>
      <c r="L320" s="184"/>
      <c r="N320" s="234"/>
      <c r="O320" s="234"/>
      <c r="P320" s="234"/>
      <c r="Q320" s="234"/>
      <c r="R320" s="234"/>
      <c r="S320" s="234"/>
      <c r="T320" s="234"/>
    </row>
    <row r="321" spans="2:20" x14ac:dyDescent="0.25">
      <c r="B321" s="185"/>
      <c r="C321" s="179"/>
      <c r="D321" s="179"/>
      <c r="E321" s="179"/>
      <c r="F321" s="179"/>
      <c r="G321" s="179"/>
      <c r="H321" s="182"/>
      <c r="I321" s="182"/>
      <c r="J321" s="182"/>
      <c r="K321" s="183"/>
      <c r="L321" s="184"/>
      <c r="N321" s="234"/>
      <c r="O321" s="234"/>
      <c r="P321" s="234"/>
      <c r="Q321" s="234"/>
      <c r="R321" s="234"/>
      <c r="S321" s="234"/>
      <c r="T321" s="234"/>
    </row>
    <row r="322" spans="2:20" x14ac:dyDescent="0.25">
      <c r="B322" s="185"/>
      <c r="C322" s="179"/>
      <c r="D322" s="179"/>
      <c r="E322" s="179"/>
      <c r="F322" s="179"/>
      <c r="G322" s="179"/>
      <c r="H322" s="182"/>
      <c r="I322" s="182"/>
      <c r="J322" s="182"/>
      <c r="K322" s="183"/>
      <c r="L322" s="184"/>
      <c r="N322" s="234"/>
      <c r="O322" s="234"/>
      <c r="P322" s="234"/>
      <c r="Q322" s="234"/>
      <c r="R322" s="234"/>
      <c r="S322" s="234"/>
      <c r="T322" s="234"/>
    </row>
    <row r="323" spans="2:20" x14ac:dyDescent="0.25">
      <c r="B323" s="185"/>
      <c r="C323" s="179"/>
      <c r="D323" s="179"/>
      <c r="E323" s="179"/>
      <c r="F323" s="179"/>
      <c r="G323" s="179"/>
      <c r="H323" s="182"/>
      <c r="I323" s="182"/>
      <c r="J323" s="182"/>
      <c r="K323" s="183"/>
      <c r="L323" s="184"/>
      <c r="N323" s="234"/>
      <c r="O323" s="234"/>
      <c r="P323" s="234"/>
      <c r="Q323" s="234"/>
      <c r="R323" s="234"/>
      <c r="S323" s="234"/>
      <c r="T323" s="234"/>
    </row>
    <row r="324" spans="2:20" x14ac:dyDescent="0.25">
      <c r="B324" s="185"/>
      <c r="C324" s="179"/>
      <c r="D324" s="179"/>
      <c r="E324" s="179"/>
      <c r="F324" s="179"/>
      <c r="G324" s="179"/>
      <c r="H324" s="182"/>
      <c r="I324" s="182"/>
      <c r="J324" s="182"/>
      <c r="K324" s="183"/>
      <c r="L324" s="184"/>
      <c r="N324" s="234"/>
      <c r="O324" s="234"/>
      <c r="P324" s="234"/>
      <c r="Q324" s="234"/>
      <c r="R324" s="234"/>
      <c r="S324" s="234"/>
      <c r="T324" s="234"/>
    </row>
    <row r="325" spans="2:20" x14ac:dyDescent="0.25">
      <c r="B325" s="185"/>
      <c r="C325" s="179"/>
      <c r="D325" s="179"/>
      <c r="E325" s="179"/>
      <c r="F325" s="179"/>
      <c r="G325" s="179"/>
      <c r="H325" s="182"/>
      <c r="I325" s="182"/>
      <c r="J325" s="182"/>
      <c r="K325" s="183"/>
      <c r="L325" s="184"/>
      <c r="N325" s="234"/>
      <c r="O325" s="234"/>
      <c r="P325" s="234"/>
      <c r="Q325" s="234"/>
      <c r="R325" s="234"/>
      <c r="S325" s="234"/>
      <c r="T325" s="234"/>
    </row>
    <row r="326" spans="2:20" x14ac:dyDescent="0.25">
      <c r="B326" s="185"/>
      <c r="C326" s="178"/>
      <c r="D326" s="178"/>
      <c r="E326" s="178"/>
      <c r="F326" s="178"/>
      <c r="G326" s="178"/>
      <c r="H326" s="185"/>
      <c r="I326" s="185"/>
      <c r="J326" s="185"/>
      <c r="K326" s="183"/>
      <c r="L326" s="184"/>
      <c r="N326" s="234"/>
      <c r="O326" s="234"/>
      <c r="P326" s="234"/>
      <c r="Q326" s="234"/>
      <c r="R326" s="234"/>
      <c r="S326" s="234"/>
      <c r="T326" s="234"/>
    </row>
    <row r="327" spans="2:20" x14ac:dyDescent="0.25">
      <c r="B327" s="185"/>
      <c r="C327" s="178"/>
      <c r="D327" s="178"/>
      <c r="E327" s="178"/>
      <c r="F327" s="178"/>
      <c r="G327" s="178"/>
      <c r="H327" s="185"/>
      <c r="I327" s="185"/>
      <c r="J327" s="185"/>
      <c r="K327" s="183"/>
      <c r="L327" s="184"/>
      <c r="N327" s="234"/>
      <c r="O327" s="234"/>
      <c r="P327" s="234"/>
      <c r="Q327" s="234"/>
      <c r="R327" s="234"/>
      <c r="S327" s="234"/>
      <c r="T327" s="234"/>
    </row>
    <row r="328" spans="2:20" x14ac:dyDescent="0.25">
      <c r="B328" s="185"/>
      <c r="C328" s="178"/>
      <c r="D328" s="178"/>
      <c r="E328" s="178"/>
      <c r="F328" s="178"/>
      <c r="G328" s="178"/>
      <c r="H328" s="185"/>
      <c r="I328" s="185"/>
      <c r="J328" s="185"/>
      <c r="K328" s="183"/>
      <c r="L328" s="184"/>
      <c r="N328" s="234"/>
      <c r="O328" s="234"/>
      <c r="P328" s="234"/>
      <c r="Q328" s="234"/>
      <c r="R328" s="234"/>
      <c r="S328" s="234"/>
      <c r="T328" s="234"/>
    </row>
    <row r="329" spans="2:20" x14ac:dyDescent="0.25">
      <c r="B329" s="185"/>
      <c r="C329" s="178"/>
      <c r="D329" s="178"/>
      <c r="E329" s="178"/>
      <c r="F329" s="178"/>
      <c r="G329" s="178"/>
      <c r="H329" s="185"/>
      <c r="I329" s="185"/>
      <c r="J329" s="185"/>
      <c r="K329" s="183"/>
      <c r="L329" s="184"/>
      <c r="N329" s="234"/>
      <c r="O329" s="234"/>
      <c r="P329" s="234"/>
      <c r="Q329" s="234"/>
      <c r="R329" s="234"/>
      <c r="S329" s="234"/>
      <c r="T329" s="234"/>
    </row>
    <row r="330" spans="2:20" x14ac:dyDescent="0.25">
      <c r="B330" s="185"/>
      <c r="C330" s="178"/>
      <c r="D330" s="178"/>
      <c r="E330" s="178"/>
      <c r="F330" s="178"/>
      <c r="G330" s="178"/>
      <c r="H330" s="185"/>
      <c r="I330" s="185"/>
      <c r="J330" s="185"/>
      <c r="K330" s="183"/>
      <c r="L330" s="184"/>
      <c r="N330" s="234"/>
      <c r="O330" s="234"/>
      <c r="P330" s="234"/>
      <c r="Q330" s="234"/>
      <c r="R330" s="234"/>
      <c r="S330" s="234"/>
      <c r="T330" s="234"/>
    </row>
    <row r="331" spans="2:20" x14ac:dyDescent="0.25">
      <c r="B331" s="185"/>
      <c r="C331" s="178"/>
      <c r="D331" s="178"/>
      <c r="E331" s="178"/>
      <c r="F331" s="178"/>
      <c r="G331" s="178"/>
      <c r="H331" s="185"/>
      <c r="I331" s="185"/>
      <c r="J331" s="185"/>
      <c r="K331" s="183"/>
      <c r="L331" s="184"/>
      <c r="N331" s="234"/>
      <c r="O331" s="234"/>
      <c r="P331" s="234"/>
      <c r="Q331" s="234"/>
      <c r="R331" s="234"/>
      <c r="S331" s="234"/>
      <c r="T331" s="234"/>
    </row>
    <row r="332" spans="2:20" x14ac:dyDescent="0.25">
      <c r="B332" s="185"/>
      <c r="C332" s="178"/>
      <c r="D332" s="178"/>
      <c r="E332" s="178"/>
      <c r="F332" s="178"/>
      <c r="G332" s="178"/>
      <c r="H332" s="185"/>
      <c r="I332" s="185"/>
      <c r="J332" s="185"/>
      <c r="K332" s="183"/>
      <c r="L332" s="184"/>
      <c r="N332" s="234"/>
      <c r="O332" s="234"/>
      <c r="P332" s="234"/>
      <c r="Q332" s="234"/>
      <c r="R332" s="234"/>
      <c r="S332" s="234"/>
      <c r="T332" s="234"/>
    </row>
    <row r="333" spans="2:20" x14ac:dyDescent="0.25">
      <c r="B333" s="185"/>
      <c r="C333" s="178"/>
      <c r="D333" s="178"/>
      <c r="E333" s="178"/>
      <c r="F333" s="178"/>
      <c r="G333" s="178"/>
      <c r="H333" s="185"/>
      <c r="I333" s="185"/>
      <c r="J333" s="185"/>
      <c r="K333" s="183"/>
      <c r="L333" s="184"/>
      <c r="N333" s="234"/>
      <c r="O333" s="234"/>
      <c r="P333" s="234"/>
      <c r="Q333" s="234"/>
      <c r="R333" s="234"/>
      <c r="S333" s="234"/>
      <c r="T333" s="234"/>
    </row>
    <row r="334" spans="2:20" x14ac:dyDescent="0.25">
      <c r="B334" s="185"/>
      <c r="C334" s="178"/>
      <c r="D334" s="178"/>
      <c r="E334" s="178"/>
      <c r="F334" s="178"/>
      <c r="G334" s="178"/>
      <c r="H334" s="185"/>
      <c r="I334" s="185"/>
      <c r="J334" s="185"/>
      <c r="K334" s="183"/>
      <c r="L334" s="184"/>
      <c r="N334" s="234"/>
      <c r="O334" s="234"/>
      <c r="P334" s="234"/>
      <c r="Q334" s="234"/>
      <c r="R334" s="234"/>
      <c r="S334" s="234"/>
      <c r="T334" s="234"/>
    </row>
    <row r="335" spans="2:20" x14ac:dyDescent="0.25">
      <c r="B335" s="185"/>
      <c r="C335" s="178"/>
      <c r="D335" s="178"/>
      <c r="E335" s="178"/>
      <c r="F335" s="178"/>
      <c r="G335" s="178"/>
      <c r="H335" s="185"/>
      <c r="I335" s="185"/>
      <c r="J335" s="185"/>
      <c r="K335" s="183"/>
      <c r="L335" s="184"/>
      <c r="N335" s="234"/>
      <c r="O335" s="234"/>
      <c r="P335" s="234"/>
      <c r="Q335" s="234"/>
      <c r="R335" s="234"/>
      <c r="S335" s="234"/>
      <c r="T335" s="234"/>
    </row>
    <row r="336" spans="2:20" x14ac:dyDescent="0.25">
      <c r="B336" s="185"/>
      <c r="C336" s="178"/>
      <c r="D336" s="178"/>
      <c r="E336" s="178"/>
      <c r="F336" s="178"/>
      <c r="G336" s="178"/>
      <c r="H336" s="185"/>
      <c r="I336" s="185"/>
      <c r="J336" s="185"/>
      <c r="K336" s="183"/>
      <c r="L336" s="184"/>
      <c r="N336" s="234"/>
      <c r="O336" s="234"/>
      <c r="P336" s="234"/>
      <c r="Q336" s="234"/>
      <c r="R336" s="234"/>
      <c r="S336" s="234"/>
      <c r="T336" s="234"/>
    </row>
    <row r="337" spans="2:20" x14ac:dyDescent="0.25">
      <c r="B337" s="185"/>
      <c r="C337" s="178"/>
      <c r="D337" s="178"/>
      <c r="E337" s="178"/>
      <c r="F337" s="178"/>
      <c r="G337" s="178"/>
      <c r="H337" s="185"/>
      <c r="I337" s="185"/>
      <c r="J337" s="185"/>
      <c r="K337" s="183"/>
      <c r="L337" s="184"/>
      <c r="N337" s="234"/>
      <c r="O337" s="234"/>
      <c r="P337" s="234"/>
      <c r="Q337" s="234"/>
      <c r="R337" s="234"/>
      <c r="S337" s="234"/>
      <c r="T337" s="234"/>
    </row>
    <row r="338" spans="2:20" x14ac:dyDescent="0.25">
      <c r="B338" s="185"/>
      <c r="C338" s="178"/>
      <c r="D338" s="178"/>
      <c r="E338" s="178"/>
      <c r="F338" s="178"/>
      <c r="G338" s="178"/>
      <c r="H338" s="185"/>
      <c r="I338" s="185"/>
      <c r="J338" s="185"/>
      <c r="K338" s="183"/>
      <c r="L338" s="184"/>
      <c r="N338" s="234"/>
      <c r="O338" s="234"/>
      <c r="P338" s="234"/>
      <c r="Q338" s="234"/>
      <c r="R338" s="234"/>
      <c r="S338" s="234"/>
      <c r="T338" s="234"/>
    </row>
    <row r="339" spans="2:20" x14ac:dyDescent="0.25">
      <c r="B339" s="185"/>
      <c r="C339" s="178"/>
      <c r="D339" s="178"/>
      <c r="E339" s="178"/>
      <c r="F339" s="178"/>
      <c r="G339" s="178"/>
      <c r="H339" s="185"/>
      <c r="I339" s="185"/>
      <c r="J339" s="185"/>
      <c r="K339" s="183"/>
      <c r="L339" s="184"/>
      <c r="N339" s="234"/>
      <c r="O339" s="234"/>
      <c r="P339" s="234"/>
      <c r="Q339" s="234"/>
      <c r="R339" s="234"/>
      <c r="S339" s="234"/>
      <c r="T339" s="234"/>
    </row>
    <row r="340" spans="2:20" x14ac:dyDescent="0.25">
      <c r="B340" s="185"/>
      <c r="C340" s="178"/>
      <c r="D340" s="178"/>
      <c r="E340" s="178"/>
      <c r="F340" s="178"/>
      <c r="G340" s="178"/>
      <c r="H340" s="185"/>
      <c r="I340" s="185"/>
      <c r="J340" s="185"/>
      <c r="K340" s="183"/>
      <c r="L340" s="184"/>
      <c r="N340" s="234"/>
      <c r="O340" s="234"/>
      <c r="P340" s="234"/>
      <c r="Q340" s="234"/>
      <c r="R340" s="234"/>
      <c r="S340" s="234"/>
      <c r="T340" s="234"/>
    </row>
    <row r="341" spans="2:20" x14ac:dyDescent="0.25">
      <c r="B341" s="185"/>
      <c r="C341" s="178"/>
      <c r="D341" s="178"/>
      <c r="E341" s="178"/>
      <c r="F341" s="178"/>
      <c r="G341" s="178"/>
      <c r="H341" s="185"/>
      <c r="I341" s="185"/>
      <c r="J341" s="185"/>
      <c r="K341" s="183"/>
      <c r="L341" s="184"/>
      <c r="N341" s="234"/>
      <c r="O341" s="234"/>
      <c r="P341" s="234"/>
      <c r="Q341" s="234"/>
      <c r="R341" s="234"/>
      <c r="S341" s="234"/>
      <c r="T341" s="234"/>
    </row>
    <row r="342" spans="2:20" x14ac:dyDescent="0.25">
      <c r="B342" s="185"/>
      <c r="C342" s="178"/>
      <c r="D342" s="178"/>
      <c r="E342" s="178"/>
      <c r="F342" s="178"/>
      <c r="G342" s="178"/>
      <c r="H342" s="185"/>
      <c r="I342" s="185"/>
      <c r="J342" s="185"/>
      <c r="K342" s="183"/>
      <c r="L342" s="184"/>
      <c r="N342" s="234"/>
      <c r="O342" s="234"/>
      <c r="P342" s="234"/>
      <c r="Q342" s="234"/>
      <c r="R342" s="234"/>
      <c r="S342" s="234"/>
      <c r="T342" s="234"/>
    </row>
    <row r="343" spans="2:20" x14ac:dyDescent="0.25">
      <c r="B343" s="185"/>
      <c r="C343" s="178"/>
      <c r="D343" s="178"/>
      <c r="E343" s="178"/>
      <c r="F343" s="178"/>
      <c r="G343" s="178"/>
      <c r="H343" s="185"/>
      <c r="I343" s="185"/>
      <c r="J343" s="185"/>
      <c r="K343" s="183"/>
      <c r="L343" s="184"/>
      <c r="N343" s="234"/>
      <c r="O343" s="234"/>
      <c r="P343" s="234"/>
      <c r="Q343" s="234"/>
      <c r="R343" s="234"/>
      <c r="S343" s="234"/>
      <c r="T343" s="234"/>
    </row>
    <row r="344" spans="2:20" x14ac:dyDescent="0.25">
      <c r="B344" s="185"/>
      <c r="C344" s="178"/>
      <c r="D344" s="178"/>
      <c r="E344" s="178"/>
      <c r="F344" s="178"/>
      <c r="G344" s="178"/>
      <c r="H344" s="185"/>
      <c r="I344" s="185"/>
      <c r="J344" s="185"/>
      <c r="K344" s="183"/>
      <c r="L344" s="184"/>
      <c r="N344" s="234"/>
      <c r="O344" s="234"/>
      <c r="P344" s="234"/>
      <c r="Q344" s="234"/>
      <c r="R344" s="234"/>
      <c r="S344" s="234"/>
      <c r="T344" s="234"/>
    </row>
    <row r="345" spans="2:20" x14ac:dyDescent="0.25">
      <c r="B345" s="185"/>
      <c r="C345" s="178"/>
      <c r="D345" s="178"/>
      <c r="E345" s="178"/>
      <c r="F345" s="178"/>
      <c r="G345" s="178"/>
      <c r="H345" s="185"/>
      <c r="I345" s="185"/>
      <c r="J345" s="185"/>
      <c r="K345" s="183"/>
      <c r="L345" s="184"/>
      <c r="N345" s="234"/>
      <c r="O345" s="234"/>
      <c r="P345" s="234"/>
      <c r="Q345" s="234"/>
      <c r="R345" s="234"/>
      <c r="S345" s="234"/>
      <c r="T345" s="234"/>
    </row>
    <row r="346" spans="2:20" x14ac:dyDescent="0.25">
      <c r="B346" s="185"/>
      <c r="C346" s="178"/>
      <c r="D346" s="178"/>
      <c r="E346" s="178"/>
      <c r="F346" s="178"/>
      <c r="G346" s="178"/>
      <c r="H346" s="185"/>
      <c r="I346" s="185"/>
      <c r="J346" s="185"/>
      <c r="K346" s="183"/>
      <c r="L346" s="184"/>
      <c r="N346" s="234"/>
      <c r="O346" s="234"/>
      <c r="P346" s="234"/>
      <c r="Q346" s="234"/>
      <c r="R346" s="234"/>
      <c r="S346" s="234"/>
      <c r="T346" s="234"/>
    </row>
    <row r="347" spans="2:20" x14ac:dyDescent="0.25">
      <c r="B347" s="185"/>
      <c r="C347" s="178"/>
      <c r="D347" s="178"/>
      <c r="E347" s="178"/>
      <c r="F347" s="178"/>
      <c r="G347" s="178"/>
      <c r="H347" s="185"/>
      <c r="I347" s="185"/>
      <c r="J347" s="185"/>
      <c r="K347" s="183"/>
      <c r="L347" s="184"/>
    </row>
    <row r="348" spans="2:20" x14ac:dyDescent="0.25">
      <c r="B348" s="185"/>
      <c r="C348" s="178"/>
      <c r="D348" s="178"/>
      <c r="E348" s="178"/>
      <c r="F348" s="178"/>
      <c r="G348" s="178"/>
      <c r="H348" s="185"/>
      <c r="I348" s="185"/>
      <c r="J348" s="185"/>
      <c r="K348" s="183"/>
      <c r="L348" s="184"/>
    </row>
    <row r="349" spans="2:20" x14ac:dyDescent="0.25">
      <c r="B349" s="185"/>
      <c r="C349" s="178"/>
      <c r="D349" s="178"/>
      <c r="E349" s="178"/>
      <c r="F349" s="178"/>
      <c r="G349" s="178"/>
      <c r="H349" s="185"/>
      <c r="I349" s="185"/>
      <c r="J349" s="185"/>
      <c r="K349" s="183"/>
      <c r="L349" s="184"/>
    </row>
    <row r="350" spans="2:20" x14ac:dyDescent="0.25">
      <c r="B350" s="185"/>
      <c r="C350" s="178"/>
      <c r="D350" s="178"/>
      <c r="E350" s="178"/>
      <c r="F350" s="178"/>
      <c r="G350" s="178"/>
      <c r="H350" s="185"/>
      <c r="I350" s="185"/>
      <c r="J350" s="185"/>
      <c r="K350" s="183"/>
      <c r="L350" s="184"/>
    </row>
    <row r="351" spans="2:20" x14ac:dyDescent="0.25">
      <c r="B351" s="185"/>
      <c r="C351" s="178"/>
      <c r="D351" s="178"/>
      <c r="E351" s="178"/>
      <c r="F351" s="178"/>
      <c r="G351" s="178"/>
      <c r="H351" s="185"/>
      <c r="I351" s="185"/>
      <c r="J351" s="185"/>
      <c r="K351" s="183"/>
      <c r="L351" s="184"/>
    </row>
    <row r="352" spans="2:20" x14ac:dyDescent="0.25">
      <c r="D352" s="2"/>
      <c r="E352" s="2"/>
      <c r="F352" s="2"/>
    </row>
  </sheetData>
  <mergeCells count="156">
    <mergeCell ref="B1:L1"/>
    <mergeCell ref="K3:L3"/>
    <mergeCell ref="A4:A10"/>
    <mergeCell ref="B4:B10"/>
    <mergeCell ref="C4:F4"/>
    <mergeCell ref="G4:J4"/>
    <mergeCell ref="K4:K10"/>
    <mergeCell ref="L4:L10"/>
    <mergeCell ref="C5:C10"/>
    <mergeCell ref="D5:F5"/>
    <mergeCell ref="G5:G10"/>
    <mergeCell ref="H5:J5"/>
    <mergeCell ref="D6:D10"/>
    <mergeCell ref="E6:E10"/>
    <mergeCell ref="F6:F10"/>
    <mergeCell ref="H6:H10"/>
    <mergeCell ref="I6:I10"/>
    <mergeCell ref="J6:J10"/>
    <mergeCell ref="B12:L12"/>
    <mergeCell ref="B14:L14"/>
    <mergeCell ref="B15:L15"/>
    <mergeCell ref="B18:L18"/>
    <mergeCell ref="B20:L20"/>
    <mergeCell ref="B21:L21"/>
    <mergeCell ref="Q22:S22"/>
    <mergeCell ref="T22:T26"/>
    <mergeCell ref="B23:L23"/>
    <mergeCell ref="Q24:S24"/>
    <mergeCell ref="B25:L25"/>
    <mergeCell ref="Q26:S26"/>
    <mergeCell ref="B27:L27"/>
    <mergeCell ref="Q28:S28"/>
    <mergeCell ref="B30:L30"/>
    <mergeCell ref="B32:L32"/>
    <mergeCell ref="B33:L33"/>
    <mergeCell ref="Q34:S34"/>
    <mergeCell ref="B36:L36"/>
    <mergeCell ref="B37:L37"/>
    <mergeCell ref="B40:L40"/>
    <mergeCell ref="P43:R43"/>
    <mergeCell ref="B44:L44"/>
    <mergeCell ref="B46:L46"/>
    <mergeCell ref="B47:L47"/>
    <mergeCell ref="B50:L50"/>
    <mergeCell ref="B52:L52"/>
    <mergeCell ref="B53:L53"/>
    <mergeCell ref="B55:L55"/>
    <mergeCell ref="B57:L57"/>
    <mergeCell ref="B58:L58"/>
    <mergeCell ref="B60:L60"/>
    <mergeCell ref="B62:L62"/>
    <mergeCell ref="B64:L64"/>
    <mergeCell ref="B66:L66"/>
    <mergeCell ref="B67:L67"/>
    <mergeCell ref="B69:L69"/>
    <mergeCell ref="B71:K71"/>
    <mergeCell ref="B73:L73"/>
    <mergeCell ref="B74:L74"/>
    <mergeCell ref="B76:L76"/>
    <mergeCell ref="B78:K78"/>
    <mergeCell ref="B80:K80"/>
    <mergeCell ref="B81:K81"/>
    <mergeCell ref="B83:L83"/>
    <mergeCell ref="B85:L85"/>
    <mergeCell ref="B87:L87"/>
    <mergeCell ref="B88:L88"/>
    <mergeCell ref="B90:L90"/>
    <mergeCell ref="B92:L92"/>
    <mergeCell ref="B95:K95"/>
    <mergeCell ref="B97:K97"/>
    <mergeCell ref="B98:K98"/>
    <mergeCell ref="B101:K101"/>
    <mergeCell ref="B104:K104"/>
    <mergeCell ref="B106:K106"/>
    <mergeCell ref="B107:K107"/>
    <mergeCell ref="B111:L111"/>
    <mergeCell ref="B115:K115"/>
    <mergeCell ref="B118:K118"/>
    <mergeCell ref="B121:K121"/>
    <mergeCell ref="B124:K124"/>
    <mergeCell ref="B126:K126"/>
    <mergeCell ref="B127:K127"/>
    <mergeCell ref="B131:K131"/>
    <mergeCell ref="B132:K132"/>
    <mergeCell ref="B134:K134"/>
    <mergeCell ref="B136:K136"/>
    <mergeCell ref="B137:K137"/>
    <mergeCell ref="B139:K139"/>
    <mergeCell ref="B141:K141"/>
    <mergeCell ref="B143:K143"/>
    <mergeCell ref="B145:K145"/>
    <mergeCell ref="B147:K147"/>
    <mergeCell ref="B148:K148"/>
    <mergeCell ref="B150:K150"/>
    <mergeCell ref="B153:L153"/>
    <mergeCell ref="B155:L155"/>
    <mergeCell ref="B156:L156"/>
    <mergeCell ref="B160:L160"/>
    <mergeCell ref="B165:L165"/>
    <mergeCell ref="B167:L167"/>
    <mergeCell ref="B168:L168"/>
    <mergeCell ref="B173:L173"/>
    <mergeCell ref="B176:L176"/>
    <mergeCell ref="B178:L178"/>
    <mergeCell ref="B179:L179"/>
    <mergeCell ref="B182:L182"/>
    <mergeCell ref="B188:L188"/>
    <mergeCell ref="B190:L190"/>
    <mergeCell ref="B191:L191"/>
    <mergeCell ref="B194:L194"/>
    <mergeCell ref="B198:L198"/>
    <mergeCell ref="B200:L200"/>
    <mergeCell ref="B201:L201"/>
    <mergeCell ref="B204:L204"/>
    <mergeCell ref="B208:L208"/>
    <mergeCell ref="B210:L210"/>
    <mergeCell ref="B211:L211"/>
    <mergeCell ref="B214:L214"/>
    <mergeCell ref="B218:L218"/>
    <mergeCell ref="B220:L220"/>
    <mergeCell ref="B221:L221"/>
    <mergeCell ref="B223:L223"/>
    <mergeCell ref="B228:L228"/>
    <mergeCell ref="B230:L230"/>
    <mergeCell ref="B232:L232"/>
    <mergeCell ref="B233:L233"/>
    <mergeCell ref="B235:K235"/>
    <mergeCell ref="B238:L238"/>
    <mergeCell ref="B240:L240"/>
    <mergeCell ref="B241:L241"/>
    <mergeCell ref="B244:K244"/>
    <mergeCell ref="B246:L246"/>
    <mergeCell ref="B248:K248"/>
    <mergeCell ref="B249:K249"/>
    <mergeCell ref="B251:K251"/>
    <mergeCell ref="B254:L254"/>
    <mergeCell ref="B256:L256"/>
    <mergeCell ref="B257:L257"/>
    <mergeCell ref="B260:L260"/>
    <mergeCell ref="B262:L262"/>
    <mergeCell ref="B268:L268"/>
    <mergeCell ref="B269:L269"/>
    <mergeCell ref="B271:L271"/>
    <mergeCell ref="B273:L273"/>
    <mergeCell ref="B276:L276"/>
    <mergeCell ref="B277:L277"/>
    <mergeCell ref="B279:L279"/>
    <mergeCell ref="B281:K281"/>
    <mergeCell ref="B282:K282"/>
    <mergeCell ref="B286:L286"/>
    <mergeCell ref="B288:K288"/>
    <mergeCell ref="B289:K289"/>
    <mergeCell ref="B299:K299"/>
    <mergeCell ref="B300:K300"/>
    <mergeCell ref="B307:C307"/>
    <mergeCell ref="B308:C308"/>
  </mergeCells>
  <pageMargins left="0.23611111111111099" right="0.23611111111111099" top="0.74791666666666701" bottom="0.74791666666666701" header="0.511811023622047" footer="0.511811023622047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49"/>
  <sheetViews>
    <sheetView zoomScale="75" zoomScaleNormal="75" workbookViewId="0">
      <pane ySplit="1" topLeftCell="A2" activePane="bottomLeft" state="frozen"/>
      <selection pane="bottomLeft" activeCell="N11" sqref="N11"/>
    </sheetView>
  </sheetViews>
  <sheetFormatPr defaultColWidth="9.28515625" defaultRowHeight="15.75" x14ac:dyDescent="0.25"/>
  <cols>
    <col min="1" max="1" width="6.7109375" style="1" customWidth="1"/>
    <col min="2" max="2" width="41" customWidth="1"/>
    <col min="3" max="3" width="17.140625" style="2" customWidth="1"/>
    <col min="4" max="4" width="15.5703125" customWidth="1"/>
    <col min="5" max="5" width="16.85546875" customWidth="1"/>
    <col min="6" max="6" width="15" customWidth="1"/>
    <col min="7" max="7" width="19.28515625" style="2" customWidth="1"/>
    <col min="8" max="8" width="19" customWidth="1"/>
    <col min="9" max="9" width="17.42578125" customWidth="1"/>
    <col min="10" max="10" width="15.7109375" customWidth="1"/>
    <col min="11" max="11" width="12.28515625" style="3" customWidth="1"/>
    <col min="12" max="12" width="18.28515625" style="4" customWidth="1"/>
    <col min="14" max="14" width="35.140625" customWidth="1"/>
  </cols>
  <sheetData>
    <row r="1" spans="1:17" s="2" customFormat="1" ht="49.5" customHeight="1" x14ac:dyDescent="0.3">
      <c r="A1" s="5"/>
      <c r="B1" s="226" t="s">
        <v>378</v>
      </c>
      <c r="C1" s="226"/>
      <c r="D1" s="226"/>
      <c r="E1" s="226"/>
      <c r="F1" s="226"/>
      <c r="G1" s="226"/>
      <c r="H1" s="226"/>
      <c r="I1" s="226"/>
      <c r="J1" s="226"/>
      <c r="K1" s="226"/>
      <c r="L1" s="226"/>
    </row>
    <row r="2" spans="1:17" s="2" customFormat="1" x14ac:dyDescent="0.25">
      <c r="A2" s="5"/>
      <c r="B2" s="2" t="s">
        <v>1</v>
      </c>
      <c r="K2" s="6"/>
      <c r="L2" s="7"/>
    </row>
    <row r="3" spans="1:17" s="2" customFormat="1" x14ac:dyDescent="0.25">
      <c r="A3" s="5"/>
      <c r="K3" s="227" t="s">
        <v>2</v>
      </c>
      <c r="L3" s="227"/>
    </row>
    <row r="4" spans="1:17" s="2" customFormat="1" ht="37.5" customHeight="1" x14ac:dyDescent="0.2">
      <c r="A4" s="210" t="s">
        <v>3</v>
      </c>
      <c r="B4" s="228" t="s">
        <v>4</v>
      </c>
      <c r="C4" s="229" t="s">
        <v>5</v>
      </c>
      <c r="D4" s="229"/>
      <c r="E4" s="229"/>
      <c r="F4" s="229"/>
      <c r="G4" s="230" t="s">
        <v>6</v>
      </c>
      <c r="H4" s="230"/>
      <c r="I4" s="230"/>
      <c r="J4" s="230"/>
      <c r="K4" s="231" t="s">
        <v>7</v>
      </c>
      <c r="L4" s="232" t="s">
        <v>8</v>
      </c>
    </row>
    <row r="5" spans="1:17" s="2" customFormat="1" ht="24" customHeight="1" x14ac:dyDescent="0.2">
      <c r="A5" s="210"/>
      <c r="B5" s="228"/>
      <c r="C5" s="228" t="s">
        <v>379</v>
      </c>
      <c r="D5" s="229" t="s">
        <v>10</v>
      </c>
      <c r="E5" s="229"/>
      <c r="F5" s="229"/>
      <c r="G5" s="230" t="s">
        <v>11</v>
      </c>
      <c r="H5" s="229" t="s">
        <v>12</v>
      </c>
      <c r="I5" s="229"/>
      <c r="J5" s="229"/>
      <c r="K5" s="231"/>
      <c r="L5" s="232"/>
    </row>
    <row r="6" spans="1:17" s="2" customFormat="1" ht="12.75" customHeight="1" x14ac:dyDescent="0.2">
      <c r="A6" s="210"/>
      <c r="B6" s="228"/>
      <c r="C6" s="228"/>
      <c r="D6" s="228" t="s">
        <v>13</v>
      </c>
      <c r="E6" s="228" t="s">
        <v>14</v>
      </c>
      <c r="F6" s="233" t="s">
        <v>15</v>
      </c>
      <c r="G6" s="230"/>
      <c r="H6" s="228" t="s">
        <v>13</v>
      </c>
      <c r="I6" s="228" t="s">
        <v>14</v>
      </c>
      <c r="J6" s="233" t="s">
        <v>15</v>
      </c>
      <c r="K6" s="231"/>
      <c r="L6" s="232"/>
    </row>
    <row r="7" spans="1:17" s="2" customFormat="1" ht="4.5" customHeight="1" x14ac:dyDescent="0.2">
      <c r="A7" s="210"/>
      <c r="B7" s="228"/>
      <c r="C7" s="228"/>
      <c r="D7" s="228"/>
      <c r="E7" s="228"/>
      <c r="F7" s="233"/>
      <c r="G7" s="230"/>
      <c r="H7" s="228"/>
      <c r="I7" s="228"/>
      <c r="J7" s="233"/>
      <c r="K7" s="231"/>
      <c r="L7" s="232"/>
    </row>
    <row r="8" spans="1:17" s="2" customFormat="1" ht="12.75" x14ac:dyDescent="0.2">
      <c r="A8" s="210"/>
      <c r="B8" s="228"/>
      <c r="C8" s="228"/>
      <c r="D8" s="228"/>
      <c r="E8" s="228"/>
      <c r="F8" s="233"/>
      <c r="G8" s="230"/>
      <c r="H8" s="228"/>
      <c r="I8" s="228"/>
      <c r="J8" s="233"/>
      <c r="K8" s="231"/>
      <c r="L8" s="232"/>
    </row>
    <row r="9" spans="1:17" s="2" customFormat="1" ht="12.75" x14ac:dyDescent="0.2">
      <c r="A9" s="210"/>
      <c r="B9" s="228"/>
      <c r="C9" s="228"/>
      <c r="D9" s="228"/>
      <c r="E9" s="228"/>
      <c r="F9" s="233"/>
      <c r="G9" s="230"/>
      <c r="H9" s="228"/>
      <c r="I9" s="228"/>
      <c r="J9" s="233"/>
      <c r="K9" s="231"/>
      <c r="L9" s="232"/>
    </row>
    <row r="10" spans="1:17" s="2" customFormat="1" ht="12.75" x14ac:dyDescent="0.2">
      <c r="A10" s="210"/>
      <c r="B10" s="228"/>
      <c r="C10" s="228"/>
      <c r="D10" s="228"/>
      <c r="E10" s="228"/>
      <c r="F10" s="233"/>
      <c r="G10" s="230"/>
      <c r="H10" s="228"/>
      <c r="I10" s="228"/>
      <c r="J10" s="233"/>
      <c r="K10" s="231"/>
      <c r="L10" s="232"/>
    </row>
    <row r="11" spans="1:17" s="14" customFormat="1" ht="130.5" customHeight="1" x14ac:dyDescent="0.2">
      <c r="A11" s="8">
        <v>1</v>
      </c>
      <c r="B11" s="9" t="s">
        <v>16</v>
      </c>
      <c r="C11" s="10">
        <f>D11+E11+F11</f>
        <v>82234.024999999994</v>
      </c>
      <c r="D11" s="10">
        <f>SUM(D13+D19+D31+D45)</f>
        <v>82234.024999999994</v>
      </c>
      <c r="E11" s="11">
        <f>SUM(E13+E18+E31+E45)</f>
        <v>0</v>
      </c>
      <c r="F11" s="11">
        <f>SUM(F13+F18+F31+F45)</f>
        <v>0</v>
      </c>
      <c r="G11" s="10">
        <f>SUM(G13+G18+G31+G45)</f>
        <v>42843.264999999999</v>
      </c>
      <c r="H11" s="10">
        <f>H13+H19+H31+H45</f>
        <v>44013.1</v>
      </c>
      <c r="I11" s="10">
        <f>SUM(I13+I18+I31+I45)</f>
        <v>0</v>
      </c>
      <c r="J11" s="10">
        <f>SUM(J13+J18+J31+J45)</f>
        <v>0</v>
      </c>
      <c r="K11" s="12">
        <f>G11/C11</f>
        <v>0.5209919495002221</v>
      </c>
      <c r="L11" s="13"/>
    </row>
    <row r="12" spans="1:17" s="2" customFormat="1" ht="20.25" customHeight="1" x14ac:dyDescent="0.25">
      <c r="A12" s="15" t="s">
        <v>17</v>
      </c>
      <c r="B12" s="203" t="s">
        <v>18</v>
      </c>
      <c r="C12" s="203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7" s="14" customFormat="1" ht="49.5" customHeight="1" x14ac:dyDescent="0.2">
      <c r="A13" s="16"/>
      <c r="B13" s="17" t="s">
        <v>19</v>
      </c>
      <c r="C13" s="18">
        <f>D13+E13</f>
        <v>115.925</v>
      </c>
      <c r="D13" s="19">
        <f>D16+D17</f>
        <v>115.925</v>
      </c>
      <c r="E13" s="19">
        <f>E16+E17</f>
        <v>0</v>
      </c>
      <c r="F13" s="19">
        <f>F16+F17</f>
        <v>0</v>
      </c>
      <c r="G13" s="18">
        <f>H13+I13+J13</f>
        <v>115.9</v>
      </c>
      <c r="H13" s="149">
        <f>H16+H17</f>
        <v>115.9</v>
      </c>
      <c r="I13" s="19">
        <f>I16+I17</f>
        <v>0</v>
      </c>
      <c r="J13" s="19">
        <f>J16+J17</f>
        <v>0</v>
      </c>
      <c r="K13" s="20">
        <f>G13/C13</f>
        <v>0.99978434332542598</v>
      </c>
      <c r="L13" s="21"/>
      <c r="N13" s="22" t="s">
        <v>20</v>
      </c>
      <c r="Q13" s="14" t="s">
        <v>21</v>
      </c>
    </row>
    <row r="14" spans="1:17" s="2" customFormat="1" ht="21.75" customHeight="1" x14ac:dyDescent="0.25">
      <c r="A14" s="23"/>
      <c r="B14" s="224" t="s">
        <v>22</v>
      </c>
      <c r="C14" s="224"/>
      <c r="D14" s="224"/>
      <c r="E14" s="224"/>
      <c r="F14" s="224"/>
      <c r="G14" s="224"/>
      <c r="H14" s="224"/>
      <c r="I14" s="224"/>
      <c r="J14" s="224"/>
      <c r="K14" s="224"/>
      <c r="L14" s="224"/>
    </row>
    <row r="15" spans="1:17" s="2" customFormat="1" ht="20.25" customHeight="1" x14ac:dyDescent="0.25">
      <c r="A15" s="23"/>
      <c r="B15" s="212" t="s">
        <v>23</v>
      </c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" t="s">
        <v>24</v>
      </c>
    </row>
    <row r="16" spans="1:17" s="14" customFormat="1" ht="47.25" x14ac:dyDescent="0.2">
      <c r="A16" s="24"/>
      <c r="B16" s="17" t="s">
        <v>25</v>
      </c>
      <c r="C16" s="18">
        <f>SUM(D16:F16)</f>
        <v>115.925</v>
      </c>
      <c r="D16" s="19">
        <v>115.925</v>
      </c>
      <c r="E16" s="19">
        <v>0</v>
      </c>
      <c r="F16" s="19">
        <v>0</v>
      </c>
      <c r="G16" s="18">
        <f>H16+I16+J16</f>
        <v>115.9</v>
      </c>
      <c r="H16" s="149">
        <v>115.9</v>
      </c>
      <c r="I16" s="19">
        <v>0</v>
      </c>
      <c r="J16" s="19">
        <v>0</v>
      </c>
      <c r="K16" s="20">
        <f>G16/C16</f>
        <v>0.99978434332542598</v>
      </c>
      <c r="L16" s="25"/>
    </row>
    <row r="17" spans="1:20" s="14" customFormat="1" x14ac:dyDescent="0.2">
      <c r="A17" s="24"/>
      <c r="B17" s="26" t="s">
        <v>26</v>
      </c>
      <c r="C17" s="18">
        <f>SUM(D17:F17)</f>
        <v>0</v>
      </c>
      <c r="D17" s="19">
        <v>0</v>
      </c>
      <c r="E17" s="19">
        <v>0</v>
      </c>
      <c r="F17" s="19">
        <v>0</v>
      </c>
      <c r="G17" s="18">
        <f>H17+I17+J17</f>
        <v>0</v>
      </c>
      <c r="H17" s="19">
        <v>0</v>
      </c>
      <c r="I17" s="19">
        <v>0</v>
      </c>
      <c r="J17" s="19">
        <v>0</v>
      </c>
      <c r="K17" s="20"/>
      <c r="L17" s="27"/>
    </row>
    <row r="18" spans="1:20" s="2" customFormat="1" ht="19.5" customHeight="1" x14ac:dyDescent="0.25">
      <c r="A18" s="28" t="s">
        <v>27</v>
      </c>
      <c r="B18" s="203" t="s">
        <v>28</v>
      </c>
      <c r="C18" s="203"/>
      <c r="D18" s="203"/>
      <c r="E18" s="203"/>
      <c r="F18" s="203"/>
      <c r="G18" s="203"/>
      <c r="H18" s="203"/>
      <c r="I18" s="203"/>
      <c r="J18" s="203"/>
      <c r="K18" s="203"/>
      <c r="L18" s="203"/>
    </row>
    <row r="19" spans="1:20" s="14" customFormat="1" ht="51" customHeight="1" x14ac:dyDescent="0.2">
      <c r="A19" s="24"/>
      <c r="B19" s="17" t="s">
        <v>29</v>
      </c>
      <c r="C19" s="18">
        <f>D19+E19+F19</f>
        <v>4599.2</v>
      </c>
      <c r="D19" s="19">
        <f>SUM(D22+D24+D26+D28+D29)</f>
        <v>4599.2</v>
      </c>
      <c r="E19" s="19">
        <f>SUM(E22+E26+E28)</f>
        <v>0</v>
      </c>
      <c r="F19" s="19">
        <f>SUM(F22+F26+F28)</f>
        <v>0</v>
      </c>
      <c r="G19" s="18">
        <f>G22+G24+G26+G28+G29</f>
        <v>1169.835</v>
      </c>
      <c r="H19" s="19">
        <f>H22+H24+H26+H28+H29</f>
        <v>1169.835</v>
      </c>
      <c r="I19" s="19">
        <f>SUM(I22+I26+I28)</f>
        <v>0</v>
      </c>
      <c r="J19" s="19">
        <f>SUM(J22+J26+J28)</f>
        <v>0</v>
      </c>
      <c r="K19" s="20">
        <f>G19/C19</f>
        <v>0.25435619238128371</v>
      </c>
      <c r="L19" s="29"/>
    </row>
    <row r="20" spans="1:20" s="2" customFormat="1" ht="19.5" customHeight="1" x14ac:dyDescent="0.25">
      <c r="A20" s="23"/>
      <c r="B20" s="212" t="s">
        <v>30</v>
      </c>
      <c r="C20" s="212"/>
      <c r="D20" s="212"/>
      <c r="E20" s="212"/>
      <c r="F20" s="212"/>
      <c r="G20" s="212"/>
      <c r="H20" s="212"/>
      <c r="I20" s="212"/>
      <c r="J20" s="212"/>
      <c r="K20" s="212"/>
      <c r="L20" s="212"/>
    </row>
    <row r="21" spans="1:20" s="2" customFormat="1" ht="21" customHeight="1" x14ac:dyDescent="0.25">
      <c r="A21" s="23"/>
      <c r="B21" s="212" t="s">
        <v>31</v>
      </c>
      <c r="C21" s="212"/>
      <c r="D21" s="212"/>
      <c r="E21" s="212"/>
      <c r="F21" s="212"/>
      <c r="G21" s="212"/>
      <c r="H21" s="212"/>
      <c r="I21" s="212"/>
      <c r="J21" s="212"/>
      <c r="K21" s="212"/>
      <c r="L21" s="212"/>
    </row>
    <row r="22" spans="1:20" s="14" customFormat="1" ht="97.5" customHeight="1" x14ac:dyDescent="0.2">
      <c r="A22" s="24"/>
      <c r="B22" s="17" t="s">
        <v>32</v>
      </c>
      <c r="C22" s="30">
        <f>D22+E22+F22</f>
        <v>30</v>
      </c>
      <c r="D22" s="31">
        <v>30</v>
      </c>
      <c r="E22" s="31">
        <v>0</v>
      </c>
      <c r="F22" s="31">
        <v>0</v>
      </c>
      <c r="G22" s="30">
        <f>SUM(H22:J22)</f>
        <v>0</v>
      </c>
      <c r="H22" s="31">
        <v>0</v>
      </c>
      <c r="I22" s="31">
        <v>0</v>
      </c>
      <c r="J22" s="31">
        <v>0</v>
      </c>
      <c r="K22" s="20">
        <v>0</v>
      </c>
      <c r="L22" s="33"/>
      <c r="N22" s="14" t="s">
        <v>33</v>
      </c>
      <c r="Q22" s="222" t="s">
        <v>34</v>
      </c>
      <c r="R22" s="222"/>
      <c r="S22" s="222"/>
      <c r="T22" s="225"/>
    </row>
    <row r="23" spans="1:20" s="2" customFormat="1" ht="22.5" customHeight="1" x14ac:dyDescent="0.2">
      <c r="A23" s="34"/>
      <c r="B23" s="210" t="s">
        <v>35</v>
      </c>
      <c r="C23" s="210"/>
      <c r="D23" s="210"/>
      <c r="E23" s="210"/>
      <c r="F23" s="210"/>
      <c r="G23" s="210"/>
      <c r="H23" s="210"/>
      <c r="I23" s="210"/>
      <c r="J23" s="210"/>
      <c r="K23" s="210"/>
      <c r="L23" s="210"/>
      <c r="T23" s="225"/>
    </row>
    <row r="24" spans="1:20" s="14" customFormat="1" ht="93.75" customHeight="1" x14ac:dyDescent="0.2">
      <c r="A24" s="35"/>
      <c r="B24" s="36" t="s">
        <v>36</v>
      </c>
      <c r="C24" s="37">
        <f>D24+E24+F24</f>
        <v>678.80000000000007</v>
      </c>
      <c r="D24" s="38">
        <f>1119.7-159.9-281</f>
        <v>678.80000000000007</v>
      </c>
      <c r="E24" s="39">
        <v>0</v>
      </c>
      <c r="F24" s="39">
        <v>0</v>
      </c>
      <c r="G24" s="37">
        <f>H24+I24+J24</f>
        <v>149</v>
      </c>
      <c r="H24" s="39">
        <f>230+19+35+90+5+51-281</f>
        <v>149</v>
      </c>
      <c r="I24" s="39">
        <v>0</v>
      </c>
      <c r="J24" s="39">
        <v>0</v>
      </c>
      <c r="K24" s="32">
        <f>G24/C24</f>
        <v>0.21950500883912785</v>
      </c>
      <c r="L24" s="25"/>
      <c r="N24" s="14" t="s">
        <v>33</v>
      </c>
      <c r="Q24" s="222" t="s">
        <v>34</v>
      </c>
      <c r="R24" s="222"/>
      <c r="S24" s="222"/>
      <c r="T24" s="225"/>
    </row>
    <row r="25" spans="1:20" s="2" customFormat="1" ht="22.5" customHeight="1" x14ac:dyDescent="0.2">
      <c r="A25" s="34"/>
      <c r="B25" s="210" t="s">
        <v>37</v>
      </c>
      <c r="C25" s="210"/>
      <c r="D25" s="210"/>
      <c r="E25" s="210"/>
      <c r="F25" s="210"/>
      <c r="G25" s="210"/>
      <c r="H25" s="210"/>
      <c r="I25" s="210"/>
      <c r="J25" s="210"/>
      <c r="K25" s="210"/>
      <c r="L25" s="210"/>
      <c r="T25" s="225"/>
    </row>
    <row r="26" spans="1:20" s="14" customFormat="1" ht="72" customHeight="1" x14ac:dyDescent="0.2">
      <c r="A26" s="24"/>
      <c r="B26" s="17" t="s">
        <v>38</v>
      </c>
      <c r="C26" s="18">
        <f>SUM(D26:F26)</f>
        <v>869.5</v>
      </c>
      <c r="D26" s="19">
        <v>869.5</v>
      </c>
      <c r="E26" s="19">
        <v>0</v>
      </c>
      <c r="F26" s="19">
        <v>0</v>
      </c>
      <c r="G26" s="18">
        <f>SUM(H26:J26)</f>
        <v>579.93499999999995</v>
      </c>
      <c r="H26" s="19">
        <f>140.6+505.035-65.7</f>
        <v>579.93499999999995</v>
      </c>
      <c r="I26" s="19">
        <v>0</v>
      </c>
      <c r="J26" s="19">
        <v>0</v>
      </c>
      <c r="K26" s="20">
        <f>G26/C26</f>
        <v>0.66697527314548588</v>
      </c>
      <c r="L26" s="33"/>
      <c r="N26" s="14" t="s">
        <v>33</v>
      </c>
      <c r="Q26" s="221" t="s">
        <v>39</v>
      </c>
      <c r="R26" s="221"/>
      <c r="S26" s="221"/>
      <c r="T26" s="225"/>
    </row>
    <row r="27" spans="1:20" s="2" customFormat="1" ht="51.75" customHeight="1" x14ac:dyDescent="0.25">
      <c r="A27" s="23"/>
      <c r="B27" s="212" t="s">
        <v>40</v>
      </c>
      <c r="C27" s="212"/>
      <c r="D27" s="212"/>
      <c r="E27" s="212"/>
      <c r="F27" s="212"/>
      <c r="G27" s="212"/>
      <c r="H27" s="212"/>
      <c r="I27" s="212"/>
      <c r="J27" s="212"/>
      <c r="K27" s="212"/>
      <c r="L27" s="212"/>
    </row>
    <row r="28" spans="1:20" s="14" customFormat="1" ht="67.5" customHeight="1" x14ac:dyDescent="0.2">
      <c r="A28" s="24"/>
      <c r="B28" s="17" t="s">
        <v>41</v>
      </c>
      <c r="C28" s="30">
        <f>SUM(D28:F28)</f>
        <v>2580</v>
      </c>
      <c r="D28" s="31">
        <v>2580</v>
      </c>
      <c r="E28" s="31">
        <v>0</v>
      </c>
      <c r="F28" s="31">
        <v>0</v>
      </c>
      <c r="G28" s="30">
        <f>SUM(H28:J28)</f>
        <v>0</v>
      </c>
      <c r="H28" s="31">
        <v>0</v>
      </c>
      <c r="I28" s="31">
        <v>0</v>
      </c>
      <c r="J28" s="31">
        <v>0</v>
      </c>
      <c r="K28" s="32">
        <f>G28/C28</f>
        <v>0</v>
      </c>
      <c r="L28" s="33"/>
      <c r="N28" s="14" t="s">
        <v>42</v>
      </c>
      <c r="Q28" s="222" t="s">
        <v>34</v>
      </c>
      <c r="R28" s="222"/>
      <c r="S28" s="222"/>
    </row>
    <row r="29" spans="1:20" s="14" customFormat="1" ht="51.75" customHeight="1" x14ac:dyDescent="0.2">
      <c r="A29" s="24"/>
      <c r="B29" s="17" t="s">
        <v>43</v>
      </c>
      <c r="C29" s="30">
        <f>SUM(D29:F29)</f>
        <v>440.9</v>
      </c>
      <c r="D29" s="38">
        <f>159.9+281</f>
        <v>440.9</v>
      </c>
      <c r="E29" s="31">
        <v>0</v>
      </c>
      <c r="F29" s="31">
        <v>0</v>
      </c>
      <c r="G29" s="30">
        <f>SUM(H29:J29)</f>
        <v>440.9</v>
      </c>
      <c r="H29" s="186">
        <f>159.9+281</f>
        <v>440.9</v>
      </c>
      <c r="I29" s="31">
        <v>0</v>
      </c>
      <c r="J29" s="31">
        <v>0</v>
      </c>
      <c r="K29" s="32">
        <f>G29/C29</f>
        <v>1</v>
      </c>
      <c r="L29" s="32"/>
    </row>
    <row r="30" spans="1:20" s="2" customFormat="1" ht="23.25" customHeight="1" x14ac:dyDescent="0.25">
      <c r="A30" s="28" t="s">
        <v>44</v>
      </c>
      <c r="B30" s="203" t="s">
        <v>45</v>
      </c>
      <c r="C30" s="203"/>
      <c r="D30" s="203"/>
      <c r="E30" s="203"/>
      <c r="F30" s="203"/>
      <c r="G30" s="203"/>
      <c r="H30" s="203"/>
      <c r="I30" s="203"/>
      <c r="J30" s="203"/>
      <c r="K30" s="203"/>
      <c r="L30" s="203"/>
    </row>
    <row r="31" spans="1:20" s="14" customFormat="1" ht="31.9" customHeight="1" x14ac:dyDescent="0.2">
      <c r="A31" s="24"/>
      <c r="B31" s="17" t="s">
        <v>46</v>
      </c>
      <c r="C31" s="18">
        <f>C34+C38+C39+C41+C42+C43+C35</f>
        <v>49927.1</v>
      </c>
      <c r="D31" s="19">
        <f>D34+D35+D38+D39+D41+D42+D43</f>
        <v>49927.1</v>
      </c>
      <c r="E31" s="19">
        <f>SUM(E34:E35)</f>
        <v>0</v>
      </c>
      <c r="F31" s="19">
        <f>SUM(F34:F35)</f>
        <v>0</v>
      </c>
      <c r="G31" s="18">
        <f>G34+G35+G38+G39+G41+G42+G43</f>
        <v>28080.576999999997</v>
      </c>
      <c r="H31" s="149">
        <f>H34+H35+H38+H39+H41+H42+H43</f>
        <v>28080.576999999997</v>
      </c>
      <c r="I31" s="19">
        <f>SUM(I34:I35)</f>
        <v>0</v>
      </c>
      <c r="J31" s="19">
        <f>SUM(J34:J35)</f>
        <v>0</v>
      </c>
      <c r="K31" s="20">
        <f>G31/C31</f>
        <v>0.56243156522209381</v>
      </c>
      <c r="L31" s="33"/>
    </row>
    <row r="32" spans="1:20" s="2" customFormat="1" ht="22.5" customHeight="1" x14ac:dyDescent="0.25">
      <c r="A32" s="23"/>
      <c r="B32" s="212" t="s">
        <v>47</v>
      </c>
      <c r="C32" s="212"/>
      <c r="D32" s="212"/>
      <c r="E32" s="212"/>
      <c r="F32" s="212"/>
      <c r="G32" s="212"/>
      <c r="H32" s="212"/>
      <c r="I32" s="212"/>
      <c r="J32" s="212"/>
      <c r="K32" s="212"/>
      <c r="L32" s="212"/>
    </row>
    <row r="33" spans="1:19" s="2" customFormat="1" ht="30" customHeight="1" x14ac:dyDescent="0.25">
      <c r="A33" s="23"/>
      <c r="B33" s="212" t="s">
        <v>48</v>
      </c>
      <c r="C33" s="212"/>
      <c r="D33" s="212"/>
      <c r="E33" s="212"/>
      <c r="F33" s="212"/>
      <c r="G33" s="212"/>
      <c r="H33" s="212"/>
      <c r="I33" s="212"/>
      <c r="J33" s="212"/>
      <c r="K33" s="212"/>
      <c r="L33" s="212"/>
    </row>
    <row r="34" spans="1:19" s="14" customFormat="1" ht="74.25" customHeight="1" x14ac:dyDescent="0.2">
      <c r="A34" s="24"/>
      <c r="B34" s="17" t="s">
        <v>49</v>
      </c>
      <c r="C34" s="18">
        <f>D34+E34+F34</f>
        <v>1633.3</v>
      </c>
      <c r="D34" s="19">
        <v>1633.3</v>
      </c>
      <c r="E34" s="19">
        <v>0</v>
      </c>
      <c r="F34" s="19">
        <v>0</v>
      </c>
      <c r="G34" s="18">
        <f>SUM(H34:J34)</f>
        <v>984.94799999999987</v>
      </c>
      <c r="H34" s="149">
        <f>895.9+28.348+13.3+47.4</f>
        <v>984.94799999999987</v>
      </c>
      <c r="I34" s="19">
        <v>0</v>
      </c>
      <c r="J34" s="19">
        <v>0</v>
      </c>
      <c r="K34" s="20">
        <f>G34/C34</f>
        <v>0.60304169472846381</v>
      </c>
      <c r="L34" s="25"/>
      <c r="N34" s="41" t="s">
        <v>380</v>
      </c>
      <c r="Q34" s="221" t="s">
        <v>50</v>
      </c>
      <c r="R34" s="221"/>
      <c r="S34" s="221"/>
    </row>
    <row r="35" spans="1:19" s="14" customFormat="1" ht="84" customHeight="1" x14ac:dyDescent="0.2">
      <c r="A35" s="24"/>
      <c r="B35" s="17" t="s">
        <v>51</v>
      </c>
      <c r="C35" s="18">
        <f>D35+E35+F35</f>
        <v>300</v>
      </c>
      <c r="D35" s="19">
        <v>300</v>
      </c>
      <c r="E35" s="19">
        <v>0</v>
      </c>
      <c r="F35" s="19">
        <v>0</v>
      </c>
      <c r="G35" s="18">
        <f>SUM(H35:J35)</f>
        <v>157.65</v>
      </c>
      <c r="H35" s="149">
        <v>157.65</v>
      </c>
      <c r="I35" s="19">
        <v>0</v>
      </c>
      <c r="J35" s="19">
        <v>0</v>
      </c>
      <c r="K35" s="20">
        <f>G35/C35</f>
        <v>0.52549999999999997</v>
      </c>
      <c r="L35" s="25"/>
      <c r="M35" s="42"/>
      <c r="N35" s="43" t="s">
        <v>381</v>
      </c>
    </row>
    <row r="36" spans="1:19" s="2" customFormat="1" ht="22.5" customHeight="1" x14ac:dyDescent="0.25">
      <c r="A36" s="23"/>
      <c r="B36" s="212" t="s">
        <v>52</v>
      </c>
      <c r="C36" s="212"/>
      <c r="D36" s="212"/>
      <c r="E36" s="212"/>
      <c r="F36" s="212"/>
      <c r="G36" s="212"/>
      <c r="H36" s="212"/>
      <c r="I36" s="212"/>
      <c r="J36" s="212"/>
      <c r="K36" s="212"/>
      <c r="L36" s="212"/>
    </row>
    <row r="37" spans="1:19" s="2" customFormat="1" ht="30" customHeight="1" x14ac:dyDescent="0.25">
      <c r="A37" s="23"/>
      <c r="B37" s="212" t="s">
        <v>53</v>
      </c>
      <c r="C37" s="212"/>
      <c r="D37" s="212"/>
      <c r="E37" s="212"/>
      <c r="F37" s="212"/>
      <c r="G37" s="212"/>
      <c r="H37" s="212"/>
      <c r="I37" s="212"/>
      <c r="J37" s="212"/>
      <c r="K37" s="212"/>
      <c r="L37" s="212"/>
    </row>
    <row r="38" spans="1:19" s="14" customFormat="1" ht="113.25" customHeight="1" x14ac:dyDescent="0.2">
      <c r="A38" s="24"/>
      <c r="B38" s="17" t="s">
        <v>54</v>
      </c>
      <c r="C38" s="18">
        <f>D38+F38+E38</f>
        <v>300</v>
      </c>
      <c r="D38" s="19">
        <v>300</v>
      </c>
      <c r="E38" s="19">
        <v>0</v>
      </c>
      <c r="F38" s="19">
        <v>0</v>
      </c>
      <c r="G38" s="18">
        <f>SUM(H38:J38)</f>
        <v>106.15600000000001</v>
      </c>
      <c r="H38" s="149">
        <f>61.876+12.58+12.9+18.8</f>
        <v>106.15600000000001</v>
      </c>
      <c r="I38" s="19">
        <v>0</v>
      </c>
      <c r="J38" s="19">
        <v>0</v>
      </c>
      <c r="K38" s="20">
        <f>G38/C38</f>
        <v>0.35385333333333335</v>
      </c>
      <c r="L38" s="25"/>
      <c r="M38" s="42"/>
      <c r="N38" s="44" t="s">
        <v>382</v>
      </c>
      <c r="P38" s="14" t="s">
        <v>21</v>
      </c>
    </row>
    <row r="39" spans="1:19" s="14" customFormat="1" ht="84" customHeight="1" x14ac:dyDescent="0.2">
      <c r="A39" s="24"/>
      <c r="B39" s="17" t="s">
        <v>55</v>
      </c>
      <c r="C39" s="18">
        <f>D39+E39+F39</f>
        <v>0</v>
      </c>
      <c r="D39" s="19">
        <v>0</v>
      </c>
      <c r="E39" s="19">
        <v>0</v>
      </c>
      <c r="F39" s="19">
        <v>0</v>
      </c>
      <c r="G39" s="18">
        <v>0</v>
      </c>
      <c r="H39" s="19">
        <v>0</v>
      </c>
      <c r="I39" s="19">
        <v>0</v>
      </c>
      <c r="J39" s="19">
        <v>0</v>
      </c>
      <c r="K39" s="20">
        <v>0</v>
      </c>
      <c r="L39" s="25"/>
      <c r="M39" s="42"/>
    </row>
    <row r="40" spans="1:19" s="49" customFormat="1" ht="34.5" customHeight="1" x14ac:dyDescent="0.2">
      <c r="A40" s="45"/>
      <c r="B40" s="223" t="s">
        <v>56</v>
      </c>
      <c r="C40" s="223"/>
      <c r="D40" s="223"/>
      <c r="E40" s="223"/>
      <c r="F40" s="223"/>
      <c r="G40" s="223"/>
      <c r="H40" s="223"/>
      <c r="I40" s="223"/>
      <c r="J40" s="223"/>
      <c r="K40" s="223"/>
      <c r="L40" s="223"/>
      <c r="M40" s="46"/>
      <c r="N40" s="46"/>
      <c r="O40" s="47"/>
      <c r="P40" s="48"/>
    </row>
    <row r="41" spans="1:19" s="14" customFormat="1" ht="84" customHeight="1" x14ac:dyDescent="0.2">
      <c r="A41" s="24"/>
      <c r="B41" s="17" t="s">
        <v>57</v>
      </c>
      <c r="C41" s="18">
        <f>D41+E41+F41</f>
        <v>152</v>
      </c>
      <c r="D41" s="19">
        <v>152</v>
      </c>
      <c r="E41" s="19">
        <v>0</v>
      </c>
      <c r="F41" s="19">
        <v>0</v>
      </c>
      <c r="G41" s="18">
        <f>H41+I41+J41</f>
        <v>51.9</v>
      </c>
      <c r="H41" s="149">
        <f>39+12.9</f>
        <v>51.9</v>
      </c>
      <c r="I41" s="19">
        <v>0</v>
      </c>
      <c r="J41" s="19">
        <v>0</v>
      </c>
      <c r="K41" s="20">
        <f>G41/C41</f>
        <v>0.34144736842105261</v>
      </c>
      <c r="L41" s="25"/>
      <c r="M41" s="42"/>
      <c r="N41" s="43" t="s">
        <v>58</v>
      </c>
      <c r="P41" s="14" t="s">
        <v>59</v>
      </c>
    </row>
    <row r="42" spans="1:19" s="14" customFormat="1" ht="114" customHeight="1" x14ac:dyDescent="0.2">
      <c r="A42" s="24"/>
      <c r="B42" s="17" t="s">
        <v>60</v>
      </c>
      <c r="C42" s="18">
        <f>D42+E42+F42</f>
        <v>45407.6</v>
      </c>
      <c r="D42" s="19">
        <v>45407.6</v>
      </c>
      <c r="E42" s="19">
        <v>0</v>
      </c>
      <c r="F42" s="19">
        <v>0</v>
      </c>
      <c r="G42" s="18">
        <f>H42+I42+J42</f>
        <v>25419.766</v>
      </c>
      <c r="H42" s="187">
        <f>1047.446+2574.03+4207.975+17697.515-107.2</f>
        <v>25419.766</v>
      </c>
      <c r="I42" s="19">
        <v>0</v>
      </c>
      <c r="J42" s="19">
        <v>0</v>
      </c>
      <c r="K42" s="20">
        <f>G42/C42</f>
        <v>0.55981302689417634</v>
      </c>
      <c r="L42" s="25"/>
      <c r="M42" s="42"/>
      <c r="N42" s="43" t="s">
        <v>383</v>
      </c>
    </row>
    <row r="43" spans="1:19" s="14" customFormat="1" ht="84" customHeight="1" x14ac:dyDescent="0.2">
      <c r="A43" s="24"/>
      <c r="B43" s="17" t="s">
        <v>61</v>
      </c>
      <c r="C43" s="18">
        <f>D43+E43+F43</f>
        <v>2134.1999999999998</v>
      </c>
      <c r="D43" s="19">
        <v>2134.1999999999998</v>
      </c>
      <c r="E43" s="19">
        <v>0</v>
      </c>
      <c r="F43" s="19">
        <v>0</v>
      </c>
      <c r="G43" s="18">
        <f>H43+I43+J43</f>
        <v>1360.1569999999999</v>
      </c>
      <c r="H43" s="149">
        <f>129.368+112.126+1118.663</f>
        <v>1360.1569999999999</v>
      </c>
      <c r="I43" s="19">
        <v>0</v>
      </c>
      <c r="J43" s="19">
        <v>0</v>
      </c>
      <c r="K43" s="20">
        <f>G43/C43</f>
        <v>0.63731468465935714</v>
      </c>
      <c r="L43" s="25"/>
      <c r="M43" s="42"/>
      <c r="N43" s="43" t="s">
        <v>62</v>
      </c>
      <c r="P43" s="221" t="s">
        <v>63</v>
      </c>
      <c r="Q43" s="221"/>
      <c r="R43" s="221"/>
    </row>
    <row r="44" spans="1:19" s="2" customFormat="1" ht="35.65" customHeight="1" x14ac:dyDescent="0.25">
      <c r="A44" s="28" t="s">
        <v>64</v>
      </c>
      <c r="B44" s="203" t="s">
        <v>65</v>
      </c>
      <c r="C44" s="203"/>
      <c r="D44" s="203"/>
      <c r="E44" s="203"/>
      <c r="F44" s="203"/>
      <c r="G44" s="203"/>
      <c r="H44" s="203"/>
      <c r="I44" s="203"/>
      <c r="J44" s="203"/>
      <c r="K44" s="203"/>
      <c r="L44" s="203"/>
    </row>
    <row r="45" spans="1:19" s="14" customFormat="1" ht="96.75" customHeight="1" x14ac:dyDescent="0.2">
      <c r="A45" s="35"/>
      <c r="B45" s="17" t="s">
        <v>66</v>
      </c>
      <c r="C45" s="18">
        <f>C48</f>
        <v>27591.8</v>
      </c>
      <c r="D45" s="19">
        <f>D48</f>
        <v>27591.8</v>
      </c>
      <c r="E45" s="19">
        <f>E48</f>
        <v>0</v>
      </c>
      <c r="F45" s="19">
        <f>F48</f>
        <v>0</v>
      </c>
      <c r="G45" s="18">
        <f>H45+I45+J45</f>
        <v>14646.788</v>
      </c>
      <c r="H45" s="149">
        <f>H48</f>
        <v>14646.788</v>
      </c>
      <c r="I45" s="19">
        <f>I48</f>
        <v>0</v>
      </c>
      <c r="J45" s="19">
        <f>J48</f>
        <v>0</v>
      </c>
      <c r="K45" s="20">
        <f>G45/C45</f>
        <v>0.53083843750679549</v>
      </c>
      <c r="L45" s="50"/>
    </row>
    <row r="46" spans="1:19" s="2" customFormat="1" ht="17.25" customHeight="1" x14ac:dyDescent="0.25">
      <c r="A46" s="23"/>
      <c r="B46" s="212" t="s">
        <v>67</v>
      </c>
      <c r="C46" s="212"/>
      <c r="D46" s="212"/>
      <c r="E46" s="212"/>
      <c r="F46" s="212"/>
      <c r="G46" s="212"/>
      <c r="H46" s="212"/>
      <c r="I46" s="212"/>
      <c r="J46" s="212"/>
      <c r="K46" s="212"/>
      <c r="L46" s="212"/>
    </row>
    <row r="47" spans="1:19" s="2" customFormat="1" ht="19.5" customHeight="1" x14ac:dyDescent="0.25">
      <c r="A47" s="23"/>
      <c r="B47" s="212" t="s">
        <v>68</v>
      </c>
      <c r="C47" s="212"/>
      <c r="D47" s="212"/>
      <c r="E47" s="212"/>
      <c r="F47" s="212"/>
      <c r="G47" s="212"/>
      <c r="H47" s="212"/>
      <c r="I47" s="212"/>
      <c r="J47" s="212"/>
      <c r="K47" s="212"/>
      <c r="L47" s="212"/>
    </row>
    <row r="48" spans="1:19" s="14" customFormat="1" ht="100.5" customHeight="1" x14ac:dyDescent="0.2">
      <c r="A48" s="35"/>
      <c r="B48" s="51" t="s">
        <v>69</v>
      </c>
      <c r="C48" s="18">
        <f>SUM(D48:F48)</f>
        <v>27591.8</v>
      </c>
      <c r="D48" s="19">
        <v>27591.8</v>
      </c>
      <c r="E48" s="19">
        <v>0</v>
      </c>
      <c r="F48" s="19">
        <v>0</v>
      </c>
      <c r="G48" s="18">
        <f>H48+I48+J48</f>
        <v>14646.788</v>
      </c>
      <c r="H48" s="19">
        <f>2854.168+11792.62</f>
        <v>14646.788</v>
      </c>
      <c r="I48" s="19">
        <v>0</v>
      </c>
      <c r="J48" s="19">
        <v>0</v>
      </c>
      <c r="K48" s="20">
        <f>G48/C48</f>
        <v>0.53083843750679549</v>
      </c>
      <c r="L48" s="25"/>
      <c r="N48" s="43" t="s">
        <v>70</v>
      </c>
    </row>
    <row r="49" spans="1:14" s="2" customFormat="1" ht="80.25" customHeight="1" x14ac:dyDescent="0.25">
      <c r="A49" s="52" t="s">
        <v>71</v>
      </c>
      <c r="B49" s="53" t="s">
        <v>72</v>
      </c>
      <c r="C49" s="10">
        <f>SUM(C51+C56+C65+C72+C79+C86)</f>
        <v>7889.69</v>
      </c>
      <c r="D49" s="10">
        <f>SUM(D51+D56+D65+D72+D79+D86)</f>
        <v>7889.69</v>
      </c>
      <c r="E49" s="10">
        <f>SUM(E51+E56+E65+E72+E79+E86)</f>
        <v>0</v>
      </c>
      <c r="F49" s="10">
        <f>SUM(F51+F56+F65+F72+F79+F86)</f>
        <v>0</v>
      </c>
      <c r="G49" s="10">
        <f>H49+I49+J49</f>
        <v>4874.7389999999996</v>
      </c>
      <c r="H49" s="10">
        <f>H51+H56+H65+H72+H79+H86</f>
        <v>4874.7389999999996</v>
      </c>
      <c r="I49" s="10">
        <f>SUM(I51+I56+I65+I72+I79+I86)</f>
        <v>0</v>
      </c>
      <c r="J49" s="10">
        <f>SUM(J51+J56+J65+J72+J79+J86)</f>
        <v>0</v>
      </c>
      <c r="K49" s="12">
        <f>G49/C49</f>
        <v>0.61786191852911831</v>
      </c>
      <c r="L49" s="54"/>
    </row>
    <row r="50" spans="1:14" s="2" customFormat="1" ht="21.2" customHeight="1" x14ac:dyDescent="0.25">
      <c r="A50" s="28" t="s">
        <v>73</v>
      </c>
      <c r="B50" s="203" t="s">
        <v>74</v>
      </c>
      <c r="C50" s="203"/>
      <c r="D50" s="203"/>
      <c r="E50" s="203"/>
      <c r="F50" s="203"/>
      <c r="G50" s="203"/>
      <c r="H50" s="203"/>
      <c r="I50" s="203"/>
      <c r="J50" s="203"/>
      <c r="K50" s="203"/>
      <c r="L50" s="203"/>
    </row>
    <row r="51" spans="1:14" s="14" customFormat="1" ht="83.25" customHeight="1" x14ac:dyDescent="0.2">
      <c r="A51" s="55"/>
      <c r="B51" s="17" t="s">
        <v>75</v>
      </c>
      <c r="C51" s="56">
        <f>SUM(C54)</f>
        <v>80.459999999999994</v>
      </c>
      <c r="D51" s="57">
        <f>SUM(D54)</f>
        <v>80.459999999999994</v>
      </c>
      <c r="E51" s="57">
        <f>SUM(E54)</f>
        <v>0</v>
      </c>
      <c r="F51" s="57">
        <f>SUM(F54)</f>
        <v>0</v>
      </c>
      <c r="G51" s="56">
        <f>H51+I51+J51</f>
        <v>53.48</v>
      </c>
      <c r="H51" s="188">
        <f>H54</f>
        <v>53.48</v>
      </c>
      <c r="I51" s="57">
        <f>SUM(I54)</f>
        <v>0</v>
      </c>
      <c r="J51" s="57">
        <f>SUM(J54)</f>
        <v>0</v>
      </c>
      <c r="K51" s="20">
        <f>G51/C51</f>
        <v>0.66467810091971169</v>
      </c>
      <c r="L51" s="25"/>
    </row>
    <row r="52" spans="1:14" s="2" customFormat="1" ht="18" customHeight="1" x14ac:dyDescent="0.25">
      <c r="A52" s="58"/>
      <c r="B52" s="212" t="s">
        <v>76</v>
      </c>
      <c r="C52" s="212"/>
      <c r="D52" s="212"/>
      <c r="E52" s="212"/>
      <c r="F52" s="212"/>
      <c r="G52" s="212"/>
      <c r="H52" s="212"/>
      <c r="I52" s="212"/>
      <c r="J52" s="212"/>
      <c r="K52" s="212"/>
      <c r="L52" s="212"/>
    </row>
    <row r="53" spans="1:14" s="2" customFormat="1" ht="20.45" customHeight="1" x14ac:dyDescent="0.25">
      <c r="A53" s="58"/>
      <c r="B53" s="212" t="s">
        <v>77</v>
      </c>
      <c r="C53" s="212"/>
      <c r="D53" s="212"/>
      <c r="E53" s="212"/>
      <c r="F53" s="212"/>
      <c r="G53" s="212"/>
      <c r="H53" s="212"/>
      <c r="I53" s="212"/>
      <c r="J53" s="212"/>
      <c r="K53" s="212"/>
      <c r="L53" s="212"/>
    </row>
    <row r="54" spans="1:14" s="14" customFormat="1" ht="89.25" customHeight="1" x14ac:dyDescent="0.2">
      <c r="A54" s="24"/>
      <c r="B54" s="17" t="s">
        <v>78</v>
      </c>
      <c r="C54" s="30">
        <f>SUM(D54:F54)</f>
        <v>80.459999999999994</v>
      </c>
      <c r="D54" s="31">
        <v>80.459999999999994</v>
      </c>
      <c r="E54" s="31">
        <v>0</v>
      </c>
      <c r="F54" s="31">
        <v>0</v>
      </c>
      <c r="G54" s="30">
        <f>H54+I54+J54</f>
        <v>53.48</v>
      </c>
      <c r="H54" s="189">
        <v>53.48</v>
      </c>
      <c r="I54" s="31">
        <v>0</v>
      </c>
      <c r="J54" s="31">
        <v>0</v>
      </c>
      <c r="K54" s="20">
        <f>G54/C54</f>
        <v>0.66467810091971169</v>
      </c>
      <c r="L54" s="25"/>
    </row>
    <row r="55" spans="1:14" s="2" customFormat="1" ht="20.45" customHeight="1" x14ac:dyDescent="0.25">
      <c r="A55" s="28" t="s">
        <v>79</v>
      </c>
      <c r="B55" s="203" t="s">
        <v>80</v>
      </c>
      <c r="C55" s="203"/>
      <c r="D55" s="203"/>
      <c r="E55" s="203"/>
      <c r="F55" s="203"/>
      <c r="G55" s="203"/>
      <c r="H55" s="203"/>
      <c r="I55" s="203"/>
      <c r="J55" s="203"/>
      <c r="K55" s="203"/>
      <c r="L55" s="203"/>
    </row>
    <row r="56" spans="1:14" s="14" customFormat="1" ht="64.5" customHeight="1" x14ac:dyDescent="0.2">
      <c r="A56" s="24"/>
      <c r="B56" s="17" t="s">
        <v>81</v>
      </c>
      <c r="C56" s="18">
        <f>D56+E56+F56</f>
        <v>7713.9299999999994</v>
      </c>
      <c r="D56" s="19">
        <f>SUM(D59+D61+D63)</f>
        <v>7713.9299999999994</v>
      </c>
      <c r="E56" s="19">
        <f>SUM(E59+E61+E63)</f>
        <v>0</v>
      </c>
      <c r="F56" s="19">
        <f>SUM(F59+F61+F63)</f>
        <v>0</v>
      </c>
      <c r="G56" s="18">
        <f>H56+I56+J56</f>
        <v>4821.259</v>
      </c>
      <c r="H56" s="149">
        <f>SUM(H59+H61+H63)</f>
        <v>4821.259</v>
      </c>
      <c r="I56" s="19">
        <f>SUM(I59+I61+I63)</f>
        <v>0</v>
      </c>
      <c r="J56" s="19">
        <f>SUM(J59+J61+J63)</f>
        <v>0</v>
      </c>
      <c r="K56" s="20">
        <f>G56/C56</f>
        <v>0.62500683827828363</v>
      </c>
      <c r="L56" s="25"/>
    </row>
    <row r="57" spans="1:14" s="2" customFormat="1" ht="15.75" customHeight="1" x14ac:dyDescent="0.2">
      <c r="A57" s="34"/>
      <c r="B57" s="210" t="s">
        <v>82</v>
      </c>
      <c r="C57" s="210"/>
      <c r="D57" s="210"/>
      <c r="E57" s="210"/>
      <c r="F57" s="210"/>
      <c r="G57" s="210"/>
      <c r="H57" s="210"/>
      <c r="I57" s="210"/>
      <c r="J57" s="210"/>
      <c r="K57" s="210"/>
      <c r="L57" s="210"/>
    </row>
    <row r="58" spans="1:14" s="2" customFormat="1" ht="32.25" customHeight="1" x14ac:dyDescent="0.25">
      <c r="A58" s="23"/>
      <c r="B58" s="212" t="s">
        <v>83</v>
      </c>
      <c r="C58" s="212"/>
      <c r="D58" s="212"/>
      <c r="E58" s="212"/>
      <c r="F58" s="212"/>
      <c r="G58" s="212"/>
      <c r="H58" s="212"/>
      <c r="I58" s="212"/>
      <c r="J58" s="212"/>
      <c r="K58" s="212"/>
      <c r="L58" s="212"/>
    </row>
    <row r="59" spans="1:14" s="2" customFormat="1" ht="83.25" customHeight="1" x14ac:dyDescent="0.25">
      <c r="A59" s="23"/>
      <c r="B59" s="59" t="s">
        <v>84</v>
      </c>
      <c r="C59" s="60">
        <f>SUM(D59:F59)</f>
        <v>548.69100000000003</v>
      </c>
      <c r="D59" s="61">
        <v>548.69100000000003</v>
      </c>
      <c r="E59" s="61">
        <v>0</v>
      </c>
      <c r="F59" s="61">
        <v>0</v>
      </c>
      <c r="G59" s="60">
        <f>SUM(H59:J59)</f>
        <v>235.43100000000001</v>
      </c>
      <c r="H59" s="190">
        <v>235.43100000000001</v>
      </c>
      <c r="I59" s="61">
        <v>0</v>
      </c>
      <c r="J59" s="61">
        <v>0</v>
      </c>
      <c r="K59" s="62">
        <f>G59/C59</f>
        <v>0.42907756824879578</v>
      </c>
      <c r="L59" s="25"/>
    </row>
    <row r="60" spans="1:14" s="2" customFormat="1" ht="21.2" customHeight="1" x14ac:dyDescent="0.25">
      <c r="A60" s="23"/>
      <c r="B60" s="212" t="s">
        <v>85</v>
      </c>
      <c r="C60" s="212"/>
      <c r="D60" s="212"/>
      <c r="E60" s="212"/>
      <c r="F60" s="212"/>
      <c r="G60" s="212"/>
      <c r="H60" s="212"/>
      <c r="I60" s="212"/>
      <c r="J60" s="212"/>
      <c r="K60" s="212"/>
      <c r="L60" s="212"/>
    </row>
    <row r="61" spans="1:14" s="14" customFormat="1" ht="50.25" customHeight="1" x14ac:dyDescent="0.2">
      <c r="A61" s="35"/>
      <c r="B61" s="63" t="s">
        <v>384</v>
      </c>
      <c r="C61" s="18">
        <f>SUM(D61:F61)</f>
        <v>88</v>
      </c>
      <c r="D61" s="19">
        <v>88</v>
      </c>
      <c r="E61" s="19">
        <v>0</v>
      </c>
      <c r="F61" s="19">
        <v>0</v>
      </c>
      <c r="G61" s="18">
        <f>SUM(H61:J61)</f>
        <v>29.58</v>
      </c>
      <c r="H61" s="149">
        <v>29.58</v>
      </c>
      <c r="I61" s="19">
        <v>0</v>
      </c>
      <c r="J61" s="19">
        <v>0</v>
      </c>
      <c r="K61" s="20">
        <f>G61/C61</f>
        <v>0.33613636363636362</v>
      </c>
      <c r="L61" s="64"/>
    </row>
    <row r="62" spans="1:14" s="2" customFormat="1" ht="24.95" customHeight="1" x14ac:dyDescent="0.25">
      <c r="A62" s="23"/>
      <c r="B62" s="212" t="s">
        <v>87</v>
      </c>
      <c r="C62" s="212"/>
      <c r="D62" s="212"/>
      <c r="E62" s="212"/>
      <c r="F62" s="212"/>
      <c r="G62" s="212"/>
      <c r="H62" s="212"/>
      <c r="I62" s="212"/>
      <c r="J62" s="212"/>
      <c r="K62" s="212"/>
      <c r="L62" s="212"/>
    </row>
    <row r="63" spans="1:14" s="14" customFormat="1" ht="51.75" customHeight="1" x14ac:dyDescent="0.2">
      <c r="A63" s="24"/>
      <c r="B63" s="17" t="s">
        <v>88</v>
      </c>
      <c r="C63" s="30">
        <f>SUM(D63:F63)</f>
        <v>7077.2389999999996</v>
      </c>
      <c r="D63" s="31">
        <v>7077.2389999999996</v>
      </c>
      <c r="E63" s="31">
        <v>0</v>
      </c>
      <c r="F63" s="31">
        <v>0</v>
      </c>
      <c r="G63" s="30">
        <f>SUM(H63:J63)</f>
        <v>4556.2479999999996</v>
      </c>
      <c r="H63" s="186">
        <v>4556.2479999999996</v>
      </c>
      <c r="I63" s="31">
        <v>0</v>
      </c>
      <c r="J63" s="31">
        <v>0</v>
      </c>
      <c r="K63" s="20">
        <f>G63/C63</f>
        <v>0.64378891259713</v>
      </c>
      <c r="L63" s="33"/>
      <c r="N63" s="14" t="s">
        <v>385</v>
      </c>
    </row>
    <row r="64" spans="1:14" s="2" customFormat="1" ht="22.5" customHeight="1" x14ac:dyDescent="0.2">
      <c r="A64" s="65" t="s">
        <v>89</v>
      </c>
      <c r="B64" s="220" t="s">
        <v>90</v>
      </c>
      <c r="C64" s="220"/>
      <c r="D64" s="220"/>
      <c r="E64" s="220"/>
      <c r="F64" s="220"/>
      <c r="G64" s="220"/>
      <c r="H64" s="220"/>
      <c r="I64" s="220"/>
      <c r="J64" s="220"/>
      <c r="K64" s="220"/>
      <c r="L64" s="220"/>
    </row>
    <row r="65" spans="1:12" s="14" customFormat="1" ht="53.25" customHeight="1" x14ac:dyDescent="0.2">
      <c r="A65" s="24"/>
      <c r="B65" s="17" t="s">
        <v>91</v>
      </c>
      <c r="C65" s="30">
        <f>SUM(C68+C70)</f>
        <v>5</v>
      </c>
      <c r="D65" s="31">
        <f>SUM(D68+D70)</f>
        <v>5</v>
      </c>
      <c r="E65" s="31">
        <f>SUM(E68+E70)</f>
        <v>0</v>
      </c>
      <c r="F65" s="31">
        <f>SUM(F68+F70)</f>
        <v>0</v>
      </c>
      <c r="G65" s="30">
        <f>H65+I65+J65</f>
        <v>0</v>
      </c>
      <c r="H65" s="31">
        <v>0</v>
      </c>
      <c r="I65" s="31">
        <f>SUM(I68+I70)</f>
        <v>0</v>
      </c>
      <c r="J65" s="31">
        <f>SUM(J68+J70)</f>
        <v>0</v>
      </c>
      <c r="K65" s="20">
        <f>G65/C65</f>
        <v>0</v>
      </c>
      <c r="L65" s="25"/>
    </row>
    <row r="66" spans="1:12" s="2" customFormat="1" ht="21.75" customHeight="1" x14ac:dyDescent="0.25">
      <c r="A66" s="23"/>
      <c r="B66" s="212" t="s">
        <v>92</v>
      </c>
      <c r="C66" s="212"/>
      <c r="D66" s="212"/>
      <c r="E66" s="212"/>
      <c r="F66" s="212"/>
      <c r="G66" s="212"/>
      <c r="H66" s="212"/>
      <c r="I66" s="212"/>
      <c r="J66" s="212"/>
      <c r="K66" s="212"/>
      <c r="L66" s="212"/>
    </row>
    <row r="67" spans="1:12" s="2" customFormat="1" ht="24" customHeight="1" x14ac:dyDescent="0.25">
      <c r="A67" s="23"/>
      <c r="B67" s="202" t="s">
        <v>93</v>
      </c>
      <c r="C67" s="202"/>
      <c r="D67" s="202"/>
      <c r="E67" s="202"/>
      <c r="F67" s="202"/>
      <c r="G67" s="202"/>
      <c r="H67" s="202"/>
      <c r="I67" s="202"/>
      <c r="J67" s="202"/>
      <c r="K67" s="202"/>
      <c r="L67" s="202"/>
    </row>
    <row r="68" spans="1:12" s="14" customFormat="1" ht="78.75" customHeight="1" x14ac:dyDescent="0.2">
      <c r="A68" s="35"/>
      <c r="B68" s="63" t="s">
        <v>94</v>
      </c>
      <c r="C68" s="30">
        <f>SUM(D68:F68)</f>
        <v>5</v>
      </c>
      <c r="D68" s="31">
        <v>5</v>
      </c>
      <c r="E68" s="31">
        <v>0</v>
      </c>
      <c r="F68" s="31">
        <v>0</v>
      </c>
      <c r="G68" s="30">
        <f>SUM(H68:J68)</f>
        <v>0</v>
      </c>
      <c r="H68" s="31">
        <v>0</v>
      </c>
      <c r="I68" s="31">
        <v>0</v>
      </c>
      <c r="J68" s="31">
        <v>0</v>
      </c>
      <c r="K68" s="20">
        <f>G68/C68</f>
        <v>0</v>
      </c>
      <c r="L68" s="64"/>
    </row>
    <row r="69" spans="1:12" s="2" customFormat="1" ht="44.25" customHeight="1" x14ac:dyDescent="0.2">
      <c r="A69" s="34"/>
      <c r="B69" s="210" t="s">
        <v>95</v>
      </c>
      <c r="C69" s="210"/>
      <c r="D69" s="210"/>
      <c r="E69" s="210"/>
      <c r="F69" s="210"/>
      <c r="G69" s="210"/>
      <c r="H69" s="210"/>
      <c r="I69" s="210"/>
      <c r="J69" s="210"/>
      <c r="K69" s="210"/>
      <c r="L69" s="210"/>
    </row>
    <row r="70" spans="1:12" s="14" customFormat="1" ht="54.75" customHeight="1" x14ac:dyDescent="0.2">
      <c r="A70" s="24"/>
      <c r="B70" s="17" t="s">
        <v>96</v>
      </c>
      <c r="C70" s="30">
        <f>SUM(D70:F70)</f>
        <v>0</v>
      </c>
      <c r="D70" s="31">
        <v>0</v>
      </c>
      <c r="E70" s="31">
        <v>0</v>
      </c>
      <c r="F70" s="31">
        <v>0</v>
      </c>
      <c r="G70" s="30">
        <f>SUM(H70:J70)</f>
        <v>0</v>
      </c>
      <c r="H70" s="31">
        <v>0</v>
      </c>
      <c r="I70" s="31">
        <v>0</v>
      </c>
      <c r="J70" s="31">
        <v>0</v>
      </c>
      <c r="K70" s="32">
        <v>0</v>
      </c>
      <c r="L70" s="25"/>
    </row>
    <row r="71" spans="1:12" s="2" customFormat="1" ht="19.5" customHeight="1" x14ac:dyDescent="0.25">
      <c r="A71" s="28" t="s">
        <v>97</v>
      </c>
      <c r="B71" s="208" t="s">
        <v>98</v>
      </c>
      <c r="C71" s="208"/>
      <c r="D71" s="208"/>
      <c r="E71" s="208"/>
      <c r="F71" s="208"/>
      <c r="G71" s="208"/>
      <c r="H71" s="208"/>
      <c r="I71" s="208"/>
      <c r="J71" s="208"/>
      <c r="K71" s="208"/>
      <c r="L71" s="66"/>
    </row>
    <row r="72" spans="1:12" s="14" customFormat="1" ht="32.25" customHeight="1" x14ac:dyDescent="0.2">
      <c r="A72" s="24"/>
      <c r="B72" s="67" t="s">
        <v>99</v>
      </c>
      <c r="C72" s="68">
        <f t="shared" ref="C72:J72" si="0">SUM(C75)</f>
        <v>74</v>
      </c>
      <c r="D72" s="69">
        <f t="shared" si="0"/>
        <v>74</v>
      </c>
      <c r="E72" s="69">
        <f t="shared" si="0"/>
        <v>0</v>
      </c>
      <c r="F72" s="69">
        <f t="shared" si="0"/>
        <v>0</v>
      </c>
      <c r="G72" s="68">
        <f t="shared" si="0"/>
        <v>0</v>
      </c>
      <c r="H72" s="69">
        <f t="shared" si="0"/>
        <v>0</v>
      </c>
      <c r="I72" s="69">
        <f t="shared" si="0"/>
        <v>0</v>
      </c>
      <c r="J72" s="69">
        <f t="shared" si="0"/>
        <v>0</v>
      </c>
      <c r="K72" s="20">
        <f>G72/C72</f>
        <v>0</v>
      </c>
      <c r="L72" s="25"/>
    </row>
    <row r="73" spans="1:12" s="2" customFormat="1" ht="18.75" customHeight="1" x14ac:dyDescent="0.25">
      <c r="A73" s="23"/>
      <c r="B73" s="212" t="s">
        <v>100</v>
      </c>
      <c r="C73" s="212"/>
      <c r="D73" s="212"/>
      <c r="E73" s="212"/>
      <c r="F73" s="212"/>
      <c r="G73" s="212"/>
      <c r="H73" s="212"/>
      <c r="I73" s="212"/>
      <c r="J73" s="212"/>
      <c r="K73" s="212"/>
      <c r="L73" s="212"/>
    </row>
    <row r="74" spans="1:12" s="2" customFormat="1" ht="24" customHeight="1" x14ac:dyDescent="0.2">
      <c r="A74" s="34"/>
      <c r="B74" s="210" t="s">
        <v>101</v>
      </c>
      <c r="C74" s="210"/>
      <c r="D74" s="210"/>
      <c r="E74" s="210"/>
      <c r="F74" s="210"/>
      <c r="G74" s="210"/>
      <c r="H74" s="210"/>
      <c r="I74" s="210"/>
      <c r="J74" s="210"/>
      <c r="K74" s="210"/>
      <c r="L74" s="210"/>
    </row>
    <row r="75" spans="1:12" s="14" customFormat="1" ht="63.75" customHeight="1" x14ac:dyDescent="0.2">
      <c r="A75" s="24"/>
      <c r="B75" s="17" t="s">
        <v>102</v>
      </c>
      <c r="C75" s="70">
        <f>SUM(D75:F75)</f>
        <v>74</v>
      </c>
      <c r="D75" s="71">
        <v>74</v>
      </c>
      <c r="E75" s="71">
        <v>0</v>
      </c>
      <c r="F75" s="71">
        <v>0</v>
      </c>
      <c r="G75" s="70">
        <f>SUM(H75:J75)</f>
        <v>0</v>
      </c>
      <c r="H75" s="71">
        <v>0</v>
      </c>
      <c r="I75" s="71">
        <v>0</v>
      </c>
      <c r="J75" s="71">
        <v>0</v>
      </c>
      <c r="K75" s="20">
        <f>G75/C75</f>
        <v>0</v>
      </c>
      <c r="L75" s="33"/>
    </row>
    <row r="76" spans="1:12" s="2" customFormat="1" ht="31.5" customHeight="1" x14ac:dyDescent="0.25">
      <c r="A76" s="23"/>
      <c r="B76" s="212" t="s">
        <v>103</v>
      </c>
      <c r="C76" s="212"/>
      <c r="D76" s="212"/>
      <c r="E76" s="212"/>
      <c r="F76" s="212"/>
      <c r="G76" s="212"/>
      <c r="H76" s="212"/>
      <c r="I76" s="212"/>
      <c r="J76" s="212"/>
      <c r="K76" s="212"/>
      <c r="L76" s="212"/>
    </row>
    <row r="77" spans="1:12" s="14" customFormat="1" ht="63.75" customHeight="1" x14ac:dyDescent="0.2">
      <c r="A77" s="24"/>
      <c r="B77" s="17" t="s">
        <v>104</v>
      </c>
      <c r="C77" s="70">
        <f>D77+E77+F77</f>
        <v>0</v>
      </c>
      <c r="D77" s="71">
        <v>0</v>
      </c>
      <c r="E77" s="71">
        <v>0</v>
      </c>
      <c r="F77" s="71">
        <v>0</v>
      </c>
      <c r="G77" s="70">
        <f>H77+I77+J77</f>
        <v>0</v>
      </c>
      <c r="H77" s="71">
        <v>0</v>
      </c>
      <c r="I77" s="71">
        <v>0</v>
      </c>
      <c r="J77" s="71">
        <v>0</v>
      </c>
      <c r="K77" s="72">
        <v>0</v>
      </c>
      <c r="L77" s="33"/>
    </row>
    <row r="78" spans="1:12" s="2" customFormat="1" ht="21.75" customHeight="1" x14ac:dyDescent="0.25">
      <c r="A78" s="28" t="s">
        <v>105</v>
      </c>
      <c r="B78" s="203" t="s">
        <v>106</v>
      </c>
      <c r="C78" s="203"/>
      <c r="D78" s="203"/>
      <c r="E78" s="203"/>
      <c r="F78" s="203"/>
      <c r="G78" s="203"/>
      <c r="H78" s="203"/>
      <c r="I78" s="203"/>
      <c r="J78" s="203"/>
      <c r="K78" s="203"/>
      <c r="L78" s="73"/>
    </row>
    <row r="79" spans="1:12" s="14" customFormat="1" ht="45" customHeight="1" x14ac:dyDescent="0.2">
      <c r="A79" s="24"/>
      <c r="B79" s="17" t="s">
        <v>107</v>
      </c>
      <c r="C79" s="70">
        <f>D79+E79</f>
        <v>5</v>
      </c>
      <c r="D79" s="71">
        <f>SUM(D82)</f>
        <v>5</v>
      </c>
      <c r="E79" s="71">
        <f>SUM(E82)</f>
        <v>0</v>
      </c>
      <c r="F79" s="71">
        <f>SUM(F82)</f>
        <v>0</v>
      </c>
      <c r="G79" s="70">
        <f>G82+G84</f>
        <v>0</v>
      </c>
      <c r="H79" s="71">
        <f>H82+H84</f>
        <v>0</v>
      </c>
      <c r="I79" s="71">
        <f>SUM(I82)</f>
        <v>0</v>
      </c>
      <c r="J79" s="71">
        <f>SUM(J82)</f>
        <v>0</v>
      </c>
      <c r="K79" s="20">
        <f>G79/C79</f>
        <v>0</v>
      </c>
      <c r="L79" s="33"/>
    </row>
    <row r="80" spans="1:12" s="2" customFormat="1" ht="20.45" customHeight="1" x14ac:dyDescent="0.25">
      <c r="A80" s="23"/>
      <c r="B80" s="212" t="s">
        <v>108</v>
      </c>
      <c r="C80" s="212"/>
      <c r="D80" s="212"/>
      <c r="E80" s="212"/>
      <c r="F80" s="212"/>
      <c r="G80" s="212"/>
      <c r="H80" s="212"/>
      <c r="I80" s="212"/>
      <c r="J80" s="212"/>
      <c r="K80" s="212"/>
      <c r="L80" s="25"/>
    </row>
    <row r="81" spans="1:12" s="2" customFormat="1" ht="18.75" customHeight="1" x14ac:dyDescent="0.25">
      <c r="A81" s="23"/>
      <c r="B81" s="212" t="s">
        <v>109</v>
      </c>
      <c r="C81" s="212"/>
      <c r="D81" s="212"/>
      <c r="E81" s="212"/>
      <c r="F81" s="212"/>
      <c r="G81" s="212"/>
      <c r="H81" s="212"/>
      <c r="I81" s="212"/>
      <c r="J81" s="212"/>
      <c r="K81" s="212"/>
      <c r="L81" s="25"/>
    </row>
    <row r="82" spans="1:12" s="14" customFormat="1" ht="69" customHeight="1" x14ac:dyDescent="0.2">
      <c r="A82" s="24"/>
      <c r="B82" s="17" t="s">
        <v>110</v>
      </c>
      <c r="C82" s="70">
        <f>SUM(D82:F82)</f>
        <v>5</v>
      </c>
      <c r="D82" s="71">
        <v>5</v>
      </c>
      <c r="E82" s="71">
        <v>0</v>
      </c>
      <c r="F82" s="71">
        <v>0</v>
      </c>
      <c r="G82" s="70">
        <f>SUM(H82:J82)</f>
        <v>0</v>
      </c>
      <c r="H82" s="71">
        <v>0</v>
      </c>
      <c r="I82" s="71">
        <v>0</v>
      </c>
      <c r="J82" s="71">
        <v>0</v>
      </c>
      <c r="K82" s="74">
        <f>G82/C82</f>
        <v>0</v>
      </c>
      <c r="L82" s="25"/>
    </row>
    <row r="83" spans="1:12" s="2" customFormat="1" ht="21.75" customHeight="1" x14ac:dyDescent="0.25">
      <c r="A83" s="23"/>
      <c r="B83" s="212" t="s">
        <v>111</v>
      </c>
      <c r="C83" s="212"/>
      <c r="D83" s="212"/>
      <c r="E83" s="212"/>
      <c r="F83" s="212"/>
      <c r="G83" s="212"/>
      <c r="H83" s="212"/>
      <c r="I83" s="212"/>
      <c r="J83" s="212"/>
      <c r="K83" s="212"/>
      <c r="L83" s="212"/>
    </row>
    <row r="84" spans="1:12" s="14" customFormat="1" ht="75" customHeight="1" x14ac:dyDescent="0.2">
      <c r="A84" s="24"/>
      <c r="B84" s="17" t="s">
        <v>112</v>
      </c>
      <c r="C84" s="70">
        <f>D84+E84+F84</f>
        <v>0</v>
      </c>
      <c r="D84" s="71">
        <v>0</v>
      </c>
      <c r="E84" s="71">
        <v>0</v>
      </c>
      <c r="F84" s="71">
        <v>0</v>
      </c>
      <c r="G84" s="70">
        <f>H84+I84+J84</f>
        <v>0</v>
      </c>
      <c r="H84" s="71">
        <v>0</v>
      </c>
      <c r="I84" s="71">
        <v>0</v>
      </c>
      <c r="J84" s="71">
        <v>0</v>
      </c>
      <c r="K84" s="72">
        <v>0</v>
      </c>
      <c r="L84" s="25"/>
    </row>
    <row r="85" spans="1:12" s="2" customFormat="1" ht="19.5" customHeight="1" x14ac:dyDescent="0.25">
      <c r="A85" s="28" t="s">
        <v>113</v>
      </c>
      <c r="B85" s="203" t="s">
        <v>114</v>
      </c>
      <c r="C85" s="203"/>
      <c r="D85" s="203"/>
      <c r="E85" s="203"/>
      <c r="F85" s="203"/>
      <c r="G85" s="203"/>
      <c r="H85" s="203"/>
      <c r="I85" s="203"/>
      <c r="J85" s="203"/>
      <c r="K85" s="203"/>
      <c r="L85" s="203"/>
    </row>
    <row r="86" spans="1:12" s="14" customFormat="1" ht="66.75" customHeight="1" x14ac:dyDescent="0.2">
      <c r="A86" s="35"/>
      <c r="B86" s="63" t="s">
        <v>115</v>
      </c>
      <c r="C86" s="70">
        <f t="shared" ref="C86:J86" si="1">SUM(C89+C91+C93)</f>
        <v>11.3</v>
      </c>
      <c r="D86" s="71">
        <f t="shared" si="1"/>
        <v>11.3</v>
      </c>
      <c r="E86" s="71">
        <f t="shared" si="1"/>
        <v>0</v>
      </c>
      <c r="F86" s="71">
        <f t="shared" si="1"/>
        <v>0</v>
      </c>
      <c r="G86" s="70">
        <f t="shared" si="1"/>
        <v>0</v>
      </c>
      <c r="H86" s="71">
        <f t="shared" si="1"/>
        <v>0</v>
      </c>
      <c r="I86" s="71">
        <f t="shared" si="1"/>
        <v>0</v>
      </c>
      <c r="J86" s="71">
        <f t="shared" si="1"/>
        <v>0</v>
      </c>
      <c r="K86" s="20">
        <f>G86/C86</f>
        <v>0</v>
      </c>
      <c r="L86" s="64"/>
    </row>
    <row r="87" spans="1:12" s="2" customFormat="1" ht="50.25" customHeight="1" x14ac:dyDescent="0.2">
      <c r="A87" s="34"/>
      <c r="B87" s="210" t="s">
        <v>116</v>
      </c>
      <c r="C87" s="210"/>
      <c r="D87" s="210"/>
      <c r="E87" s="210"/>
      <c r="F87" s="210"/>
      <c r="G87" s="210"/>
      <c r="H87" s="210"/>
      <c r="I87" s="210"/>
      <c r="J87" s="210"/>
      <c r="K87" s="210"/>
      <c r="L87" s="210"/>
    </row>
    <row r="88" spans="1:12" s="2" customFormat="1" ht="22.5" customHeight="1" x14ac:dyDescent="0.25">
      <c r="A88" s="23"/>
      <c r="B88" s="212" t="s">
        <v>117</v>
      </c>
      <c r="C88" s="212"/>
      <c r="D88" s="212"/>
      <c r="E88" s="212"/>
      <c r="F88" s="212"/>
      <c r="G88" s="212"/>
      <c r="H88" s="212"/>
      <c r="I88" s="212"/>
      <c r="J88" s="212"/>
      <c r="K88" s="212"/>
      <c r="L88" s="212"/>
    </row>
    <row r="89" spans="1:12" s="14" customFormat="1" ht="69" customHeight="1" x14ac:dyDescent="0.2">
      <c r="A89" s="24"/>
      <c r="B89" s="17" t="s">
        <v>118</v>
      </c>
      <c r="C89" s="70">
        <f>SUM(D89:F89)</f>
        <v>3.9</v>
      </c>
      <c r="D89" s="71">
        <v>3.9</v>
      </c>
      <c r="E89" s="71">
        <v>0</v>
      </c>
      <c r="F89" s="71">
        <v>0</v>
      </c>
      <c r="G89" s="70">
        <f>SUM(H89:J89)</f>
        <v>0</v>
      </c>
      <c r="H89" s="71">
        <v>0</v>
      </c>
      <c r="I89" s="71">
        <v>0</v>
      </c>
      <c r="J89" s="71">
        <v>0</v>
      </c>
      <c r="K89" s="20">
        <f>G89/C89</f>
        <v>0</v>
      </c>
      <c r="L89" s="25"/>
    </row>
    <row r="90" spans="1:12" s="2" customFormat="1" ht="25.35" customHeight="1" x14ac:dyDescent="0.25">
      <c r="A90" s="23"/>
      <c r="B90" s="212" t="s">
        <v>119</v>
      </c>
      <c r="C90" s="212"/>
      <c r="D90" s="212"/>
      <c r="E90" s="212"/>
      <c r="F90" s="212"/>
      <c r="G90" s="212"/>
      <c r="H90" s="212"/>
      <c r="I90" s="212"/>
      <c r="J90" s="212"/>
      <c r="K90" s="212"/>
      <c r="L90" s="212"/>
    </row>
    <row r="91" spans="1:12" s="14" customFormat="1" ht="64.5" customHeight="1" x14ac:dyDescent="0.2">
      <c r="A91" s="24"/>
      <c r="B91" s="17" t="s">
        <v>120</v>
      </c>
      <c r="C91" s="70">
        <f>SUM(D91:F91)</f>
        <v>3.7</v>
      </c>
      <c r="D91" s="71">
        <v>3.7</v>
      </c>
      <c r="E91" s="71">
        <v>0</v>
      </c>
      <c r="F91" s="71">
        <v>0</v>
      </c>
      <c r="G91" s="70">
        <f>SUM(H91:J91)</f>
        <v>0</v>
      </c>
      <c r="H91" s="71">
        <v>0</v>
      </c>
      <c r="I91" s="71">
        <v>0</v>
      </c>
      <c r="J91" s="71">
        <v>0</v>
      </c>
      <c r="K91" s="20">
        <f>G91/C91</f>
        <v>0</v>
      </c>
      <c r="L91" s="25"/>
    </row>
    <row r="92" spans="1:12" s="2" customFormat="1" ht="26.25" customHeight="1" x14ac:dyDescent="0.25">
      <c r="A92" s="23"/>
      <c r="B92" s="212" t="s">
        <v>121</v>
      </c>
      <c r="C92" s="212"/>
      <c r="D92" s="212"/>
      <c r="E92" s="212"/>
      <c r="F92" s="212"/>
      <c r="G92" s="212"/>
      <c r="H92" s="212"/>
      <c r="I92" s="212"/>
      <c r="J92" s="212"/>
      <c r="K92" s="212"/>
      <c r="L92" s="212"/>
    </row>
    <row r="93" spans="1:12" s="78" customFormat="1" ht="85.5" customHeight="1" x14ac:dyDescent="0.25">
      <c r="A93" s="23"/>
      <c r="B93" s="59" t="s">
        <v>122</v>
      </c>
      <c r="C93" s="75">
        <f>SUM(D93:F93)</f>
        <v>3.7</v>
      </c>
      <c r="D93" s="76">
        <v>3.7</v>
      </c>
      <c r="E93" s="76">
        <v>0</v>
      </c>
      <c r="F93" s="76">
        <v>0</v>
      </c>
      <c r="G93" s="75">
        <f>SUM(H93:J93)</f>
        <v>0</v>
      </c>
      <c r="H93" s="76">
        <v>0</v>
      </c>
      <c r="I93" s="76">
        <v>0</v>
      </c>
      <c r="J93" s="76">
        <v>0</v>
      </c>
      <c r="K93" s="77">
        <f>G93/C93</f>
        <v>0</v>
      </c>
      <c r="L93" s="25"/>
    </row>
    <row r="94" spans="1:12" s="2" customFormat="1" ht="78.75" x14ac:dyDescent="0.25">
      <c r="A94" s="79" t="s">
        <v>123</v>
      </c>
      <c r="B94" s="53" t="s">
        <v>124</v>
      </c>
      <c r="C94" s="80">
        <f t="shared" ref="C94:J94" si="2">SUM(C96+C105+C124+C133+C144)</f>
        <v>370386.42871000001</v>
      </c>
      <c r="D94" s="80">
        <f t="shared" si="2"/>
        <v>152044.22871000002</v>
      </c>
      <c r="E94" s="80">
        <f t="shared" si="2"/>
        <v>207801.8</v>
      </c>
      <c r="F94" s="80">
        <f t="shared" si="2"/>
        <v>10540.4</v>
      </c>
      <c r="G94" s="80">
        <f t="shared" si="2"/>
        <v>254324.67005999997</v>
      </c>
      <c r="H94" s="80">
        <f t="shared" si="2"/>
        <v>116192.93805999999</v>
      </c>
      <c r="I94" s="80">
        <f t="shared" si="2"/>
        <v>133823.59100000001</v>
      </c>
      <c r="J94" s="80">
        <f t="shared" si="2"/>
        <v>4308.1409999999996</v>
      </c>
      <c r="K94" s="81">
        <f>G94/C94</f>
        <v>0.68664683786005443</v>
      </c>
      <c r="L94" s="82"/>
    </row>
    <row r="95" spans="1:12" s="2" customFormat="1" ht="22.5" customHeight="1" x14ac:dyDescent="0.25">
      <c r="A95" s="83" t="s">
        <v>125</v>
      </c>
      <c r="B95" s="203" t="s">
        <v>126</v>
      </c>
      <c r="C95" s="203"/>
      <c r="D95" s="203"/>
      <c r="E95" s="203"/>
      <c r="F95" s="203"/>
      <c r="G95" s="203"/>
      <c r="H95" s="203"/>
      <c r="I95" s="203"/>
      <c r="J95" s="203"/>
      <c r="K95" s="203"/>
      <c r="L95" s="84"/>
    </row>
    <row r="96" spans="1:12" s="2" customFormat="1" ht="46.5" customHeight="1" x14ac:dyDescent="0.25">
      <c r="A96" s="85"/>
      <c r="B96" s="86" t="s">
        <v>127</v>
      </c>
      <c r="C96" s="88">
        <f>SUM(C99+C100+C102+C103)</f>
        <v>139204.111</v>
      </c>
      <c r="D96" s="88">
        <f>SUM(D99+D100+D102+D103)</f>
        <v>38500.111000000004</v>
      </c>
      <c r="E96" s="88">
        <f>SUM(E99+E100+E102+E103)</f>
        <v>100704</v>
      </c>
      <c r="F96" s="89">
        <f>SUM(F99+F100+F102+F103)</f>
        <v>0</v>
      </c>
      <c r="G96" s="191">
        <f>SUM(G99+G100+G102+G103)</f>
        <v>100183.011</v>
      </c>
      <c r="H96" s="88">
        <f>SUM(H99+H100+H102)+H103</f>
        <v>29930.010999999999</v>
      </c>
      <c r="I96" s="88">
        <f>SUM(I99+I100+I102)+I103</f>
        <v>70253</v>
      </c>
      <c r="J96" s="88">
        <f>SUM(J99+J100+J102)+J103</f>
        <v>0</v>
      </c>
      <c r="K96" s="90">
        <f>G96/C96</f>
        <v>0.71968428432404552</v>
      </c>
      <c r="L96" s="91"/>
    </row>
    <row r="97" spans="1:14" s="2" customFormat="1" ht="19.5" customHeight="1" x14ac:dyDescent="0.25">
      <c r="A97" s="85"/>
      <c r="B97" s="219" t="s">
        <v>128</v>
      </c>
      <c r="C97" s="219"/>
      <c r="D97" s="219"/>
      <c r="E97" s="219"/>
      <c r="F97" s="219"/>
      <c r="G97" s="219"/>
      <c r="H97" s="219"/>
      <c r="I97" s="219"/>
      <c r="J97" s="219"/>
      <c r="K97" s="219"/>
      <c r="L97" s="91"/>
    </row>
    <row r="98" spans="1:14" s="2" customFormat="1" ht="33.950000000000003" customHeight="1" x14ac:dyDescent="0.25">
      <c r="A98" s="85"/>
      <c r="B98" s="219" t="s">
        <v>129</v>
      </c>
      <c r="C98" s="219"/>
      <c r="D98" s="219"/>
      <c r="E98" s="219"/>
      <c r="F98" s="219"/>
      <c r="G98" s="219"/>
      <c r="H98" s="219"/>
      <c r="I98" s="219"/>
      <c r="J98" s="219"/>
      <c r="K98" s="219"/>
      <c r="L98" s="91"/>
    </row>
    <row r="99" spans="1:14" s="2" customFormat="1" ht="93.75" customHeight="1" x14ac:dyDescent="0.25">
      <c r="A99" s="85"/>
      <c r="B99" s="92" t="s">
        <v>130</v>
      </c>
      <c r="C99" s="95">
        <f>SUM(D99:F99)</f>
        <v>100704</v>
      </c>
      <c r="D99" s="94">
        <v>0</v>
      </c>
      <c r="E99" s="95">
        <v>100704</v>
      </c>
      <c r="F99" s="94">
        <v>0</v>
      </c>
      <c r="G99" s="93">
        <f>SUM(H99:J99)</f>
        <v>70253</v>
      </c>
      <c r="H99" s="94">
        <v>0</v>
      </c>
      <c r="I99" s="95">
        <f>69500+753</f>
        <v>70253</v>
      </c>
      <c r="J99" s="94">
        <v>0</v>
      </c>
      <c r="K99" s="96">
        <f>G99/C99</f>
        <v>0.69761876390212896</v>
      </c>
      <c r="L99" s="91"/>
    </row>
    <row r="100" spans="1:14" s="2" customFormat="1" ht="94.5" customHeight="1" x14ac:dyDescent="0.25">
      <c r="A100" s="85"/>
      <c r="B100" s="92" t="s">
        <v>131</v>
      </c>
      <c r="C100" s="95">
        <f>SUM(D100:F100)</f>
        <v>34280.400000000001</v>
      </c>
      <c r="D100" s="94">
        <v>34280.400000000001</v>
      </c>
      <c r="E100" s="95">
        <v>0</v>
      </c>
      <c r="F100" s="94">
        <v>0</v>
      </c>
      <c r="G100" s="93">
        <f>SUM(H100:J100)</f>
        <v>25710.3</v>
      </c>
      <c r="H100" s="192">
        <v>25710.3</v>
      </c>
      <c r="I100" s="95">
        <v>0</v>
      </c>
      <c r="J100" s="94">
        <v>0</v>
      </c>
      <c r="K100" s="96">
        <f>G100/C100</f>
        <v>0.75</v>
      </c>
      <c r="L100" s="91"/>
    </row>
    <row r="101" spans="1:14" s="2" customFormat="1" ht="30.75" customHeight="1" x14ac:dyDescent="0.25">
      <c r="A101" s="97"/>
      <c r="B101" s="215" t="s">
        <v>132</v>
      </c>
      <c r="C101" s="215"/>
      <c r="D101" s="215"/>
      <c r="E101" s="215"/>
      <c r="F101" s="215"/>
      <c r="G101" s="215"/>
      <c r="H101" s="215"/>
      <c r="I101" s="215"/>
      <c r="J101" s="215"/>
      <c r="K101" s="215"/>
      <c r="L101" s="98"/>
    </row>
    <row r="102" spans="1:14" s="2" customFormat="1" ht="141" customHeight="1" x14ac:dyDescent="0.25">
      <c r="A102" s="85"/>
      <c r="B102" s="92" t="s">
        <v>133</v>
      </c>
      <c r="C102" s="95">
        <f>SUM(D102:F102)</f>
        <v>179.71100000000001</v>
      </c>
      <c r="D102" s="94">
        <v>179.71100000000001</v>
      </c>
      <c r="E102" s="95">
        <v>0</v>
      </c>
      <c r="F102" s="94">
        <v>0</v>
      </c>
      <c r="G102" s="93">
        <f>SUM(H102:J102)</f>
        <v>179.71100000000001</v>
      </c>
      <c r="H102" s="192">
        <v>179.71100000000001</v>
      </c>
      <c r="I102" s="95">
        <v>0</v>
      </c>
      <c r="J102" s="94">
        <v>0</v>
      </c>
      <c r="K102" s="96">
        <f>G102/C102</f>
        <v>1</v>
      </c>
      <c r="L102" s="91"/>
    </row>
    <row r="103" spans="1:14" s="2" customFormat="1" ht="104.25" customHeight="1" x14ac:dyDescent="0.25">
      <c r="A103" s="85"/>
      <c r="B103" s="92" t="s">
        <v>134</v>
      </c>
      <c r="C103" s="95">
        <f>SUM(D103:F103)</f>
        <v>4040</v>
      </c>
      <c r="D103" s="94">
        <v>4040</v>
      </c>
      <c r="E103" s="95">
        <v>0</v>
      </c>
      <c r="F103" s="94">
        <v>0</v>
      </c>
      <c r="G103" s="93">
        <f>SUM(H103:J103)</f>
        <v>4040</v>
      </c>
      <c r="H103" s="192">
        <v>4040</v>
      </c>
      <c r="I103" s="95">
        <v>0</v>
      </c>
      <c r="J103" s="94">
        <v>0</v>
      </c>
      <c r="K103" s="96">
        <f>G103/C103</f>
        <v>1</v>
      </c>
      <c r="L103" s="91"/>
    </row>
    <row r="104" spans="1:14" s="2" customFormat="1" ht="36" customHeight="1" x14ac:dyDescent="0.25">
      <c r="A104" s="99" t="s">
        <v>135</v>
      </c>
      <c r="B104" s="220" t="s">
        <v>136</v>
      </c>
      <c r="C104" s="220"/>
      <c r="D104" s="220"/>
      <c r="E104" s="220"/>
      <c r="F104" s="220"/>
      <c r="G104" s="220"/>
      <c r="H104" s="220"/>
      <c r="I104" s="220"/>
      <c r="J104" s="220"/>
      <c r="K104" s="220"/>
      <c r="L104" s="100"/>
    </row>
    <row r="105" spans="1:14" s="2" customFormat="1" ht="54" customHeight="1" x14ac:dyDescent="0.25">
      <c r="A105" s="85"/>
      <c r="B105" s="101" t="s">
        <v>137</v>
      </c>
      <c r="C105" s="88">
        <f>SUM(D105:F105)</f>
        <v>150668.63405999998</v>
      </c>
      <c r="D105" s="88">
        <f>SUM(D108+D109+D110+D112+D113+D115+D116+D118+D119+D121+D122)</f>
        <v>36879.93406</v>
      </c>
      <c r="E105" s="88">
        <f>SUM(E108+E109+E110+E112+E113+E115+E116+E118+E119+E121+E122)</f>
        <v>103248.3</v>
      </c>
      <c r="F105" s="88">
        <f>SUM(F108+F109+F110+F112+F113+F115+F116+F118+F119+F121+F122)</f>
        <v>10540.4</v>
      </c>
      <c r="G105" s="191">
        <f>SUM(H105:J105)</f>
        <v>93666.625060000006</v>
      </c>
      <c r="H105" s="88">
        <f>SUM(H108+H109+H110+H112+H113+H115+H116+H119+H118+H121+H122)</f>
        <v>29315.18406</v>
      </c>
      <c r="I105" s="88">
        <f>SUM(I108+I109+I110+I112+I113+I115+I116+I119+I118+I121+I122)</f>
        <v>60043.3</v>
      </c>
      <c r="J105" s="88">
        <f>SUM(J108+J109+J110+J112+J113+J115+J116+J119+J118+J121+J122)</f>
        <v>4308.1409999999996</v>
      </c>
      <c r="K105" s="90">
        <f>G105/C105</f>
        <v>0.6216730220219534</v>
      </c>
      <c r="L105" s="102"/>
    </row>
    <row r="106" spans="1:14" s="2" customFormat="1" ht="21.2" customHeight="1" x14ac:dyDescent="0.25">
      <c r="A106" s="85"/>
      <c r="B106" s="217" t="s">
        <v>138</v>
      </c>
      <c r="C106" s="217"/>
      <c r="D106" s="217"/>
      <c r="E106" s="217"/>
      <c r="F106" s="217"/>
      <c r="G106" s="217"/>
      <c r="H106" s="217"/>
      <c r="I106" s="217"/>
      <c r="J106" s="217"/>
      <c r="K106" s="217"/>
      <c r="L106" s="102"/>
    </row>
    <row r="107" spans="1:14" s="2" customFormat="1" ht="30.75" customHeight="1" x14ac:dyDescent="0.25">
      <c r="A107" s="85"/>
      <c r="B107" s="219" t="s">
        <v>139</v>
      </c>
      <c r="C107" s="219"/>
      <c r="D107" s="219"/>
      <c r="E107" s="219"/>
      <c r="F107" s="219"/>
      <c r="G107" s="219"/>
      <c r="H107" s="219"/>
      <c r="I107" s="219"/>
      <c r="J107" s="219"/>
      <c r="K107" s="219"/>
      <c r="L107" s="102"/>
    </row>
    <row r="108" spans="1:14" s="2" customFormat="1" ht="96" customHeight="1" x14ac:dyDescent="0.25">
      <c r="A108" s="103"/>
      <c r="B108" s="59" t="s">
        <v>140</v>
      </c>
      <c r="C108" s="95">
        <f>SUM(D108:F108)</f>
        <v>4043</v>
      </c>
      <c r="D108" s="95">
        <v>0</v>
      </c>
      <c r="E108" s="95">
        <v>0</v>
      </c>
      <c r="F108" s="95">
        <v>4043</v>
      </c>
      <c r="G108" s="93">
        <f>SUM(H108:J108)</f>
        <v>2696</v>
      </c>
      <c r="H108" s="95">
        <v>0</v>
      </c>
      <c r="I108" s="95">
        <v>0</v>
      </c>
      <c r="J108" s="95">
        <v>2696</v>
      </c>
      <c r="K108" s="104">
        <f>G108/C108</f>
        <v>0.66683156072223593</v>
      </c>
      <c r="L108" s="105"/>
    </row>
    <row r="109" spans="1:14" s="2" customFormat="1" ht="186.75" customHeight="1" x14ac:dyDescent="0.25">
      <c r="A109" s="103"/>
      <c r="B109" s="59" t="s">
        <v>141</v>
      </c>
      <c r="C109" s="95">
        <f>SUM(D109:F109)</f>
        <v>100498</v>
      </c>
      <c r="D109" s="95">
        <v>0</v>
      </c>
      <c r="E109" s="106">
        <v>100498</v>
      </c>
      <c r="F109" s="95">
        <v>0</v>
      </c>
      <c r="G109" s="93">
        <f>SUM(H109:J109)</f>
        <v>57858</v>
      </c>
      <c r="H109" s="95">
        <v>0</v>
      </c>
      <c r="I109" s="192">
        <v>57858</v>
      </c>
      <c r="J109" s="95">
        <v>0</v>
      </c>
      <c r="K109" s="104">
        <f>G109/C109</f>
        <v>0.57571294951143304</v>
      </c>
      <c r="L109" s="105"/>
    </row>
    <row r="110" spans="1:14" s="2" customFormat="1" ht="112.5" customHeight="1" x14ac:dyDescent="0.25">
      <c r="A110" s="103"/>
      <c r="B110" s="107" t="s">
        <v>142</v>
      </c>
      <c r="C110" s="95">
        <f>SUM(D110:F110)</f>
        <v>343.4</v>
      </c>
      <c r="D110" s="95">
        <v>0</v>
      </c>
      <c r="E110" s="106">
        <v>0</v>
      </c>
      <c r="F110" s="95">
        <v>343.4</v>
      </c>
      <c r="G110" s="93">
        <f>SUM(H110:J110)</f>
        <v>272.14100000000002</v>
      </c>
      <c r="H110" s="95">
        <v>0</v>
      </c>
      <c r="I110" s="95">
        <v>0</v>
      </c>
      <c r="J110" s="192">
        <v>272.14100000000002</v>
      </c>
      <c r="K110" s="104">
        <f>G110/C110</f>
        <v>0.79248980780431</v>
      </c>
      <c r="L110" s="108"/>
      <c r="N110" s="2" t="s">
        <v>143</v>
      </c>
    </row>
    <row r="111" spans="1:14" s="2" customFormat="1" ht="22.5" customHeight="1" x14ac:dyDescent="0.25">
      <c r="A111" s="103"/>
      <c r="B111" s="202" t="s">
        <v>144</v>
      </c>
      <c r="C111" s="202"/>
      <c r="D111" s="202"/>
      <c r="E111" s="202"/>
      <c r="F111" s="202"/>
      <c r="G111" s="202"/>
      <c r="H111" s="202"/>
      <c r="I111" s="202"/>
      <c r="J111" s="202"/>
      <c r="K111" s="202"/>
      <c r="L111" s="202"/>
    </row>
    <row r="112" spans="1:14" s="2" customFormat="1" ht="84" customHeight="1" x14ac:dyDescent="0.25">
      <c r="A112" s="103"/>
      <c r="B112" s="59" t="s">
        <v>145</v>
      </c>
      <c r="C112" s="95">
        <f>SUM(D112:F112)</f>
        <v>20620.5</v>
      </c>
      <c r="D112" s="95">
        <v>20620.5</v>
      </c>
      <c r="E112" s="95">
        <v>0</v>
      </c>
      <c r="F112" s="95">
        <v>0</v>
      </c>
      <c r="G112" s="93">
        <f>SUM(H112:J112)</f>
        <v>15465.375</v>
      </c>
      <c r="H112" s="192">
        <v>15465.375</v>
      </c>
      <c r="I112" s="95">
        <v>0</v>
      </c>
      <c r="J112" s="95">
        <v>0</v>
      </c>
      <c r="K112" s="104">
        <f>G112/C112</f>
        <v>0.75</v>
      </c>
      <c r="L112" s="105"/>
      <c r="N112" s="2" t="s">
        <v>146</v>
      </c>
    </row>
    <row r="113" spans="1:14" s="2" customFormat="1" ht="90.75" customHeight="1" x14ac:dyDescent="0.25">
      <c r="A113" s="103"/>
      <c r="B113" s="59" t="s">
        <v>147</v>
      </c>
      <c r="C113" s="95">
        <f>SUM(D113:F113)</f>
        <v>2595.4673899999998</v>
      </c>
      <c r="D113" s="95">
        <v>1256.1673900000001</v>
      </c>
      <c r="E113" s="95">
        <v>1339.3</v>
      </c>
      <c r="F113" s="95">
        <v>0</v>
      </c>
      <c r="G113" s="93">
        <f>SUM(H113:J113)</f>
        <v>2595.4673899999998</v>
      </c>
      <c r="H113" s="192">
        <v>1256.1673900000001</v>
      </c>
      <c r="I113" s="192">
        <v>1339.3</v>
      </c>
      <c r="J113" s="95">
        <v>0</v>
      </c>
      <c r="K113" s="104">
        <f>G113/C113</f>
        <v>1</v>
      </c>
      <c r="L113" s="105"/>
    </row>
    <row r="114" spans="1:14" s="2" customFormat="1" ht="18.75" customHeight="1" x14ac:dyDescent="0.25">
      <c r="A114" s="103"/>
      <c r="B114" s="202" t="s">
        <v>149</v>
      </c>
      <c r="C114" s="202"/>
      <c r="D114" s="202"/>
      <c r="E114" s="202"/>
      <c r="F114" s="202"/>
      <c r="G114" s="202"/>
      <c r="H114" s="202"/>
      <c r="I114" s="202"/>
      <c r="J114" s="202"/>
      <c r="K114" s="202"/>
      <c r="L114" s="105"/>
    </row>
    <row r="115" spans="1:14" s="2" customFormat="1" ht="126" customHeight="1" x14ac:dyDescent="0.25">
      <c r="A115" s="103"/>
      <c r="B115" s="59" t="s">
        <v>150</v>
      </c>
      <c r="C115" s="95">
        <f>SUM(D115:F115)</f>
        <v>244.76667</v>
      </c>
      <c r="D115" s="95">
        <v>244.76667</v>
      </c>
      <c r="E115" s="95">
        <v>0</v>
      </c>
      <c r="F115" s="95">
        <v>0</v>
      </c>
      <c r="G115" s="93">
        <f>SUM(H115:J115)</f>
        <v>244.76667</v>
      </c>
      <c r="H115" s="192">
        <v>244.76667</v>
      </c>
      <c r="I115" s="95">
        <v>0</v>
      </c>
      <c r="J115" s="95">
        <v>0</v>
      </c>
      <c r="K115" s="104">
        <f>G115/C115</f>
        <v>1</v>
      </c>
      <c r="L115" s="105"/>
    </row>
    <row r="116" spans="1:14" s="2" customFormat="1" ht="102" customHeight="1" x14ac:dyDescent="0.25">
      <c r="A116" s="103"/>
      <c r="B116" s="59" t="s">
        <v>151</v>
      </c>
      <c r="C116" s="95">
        <f>SUM(D116:F116)</f>
        <v>2120</v>
      </c>
      <c r="D116" s="95">
        <v>2120</v>
      </c>
      <c r="E116" s="95">
        <v>0</v>
      </c>
      <c r="F116" s="95">
        <v>0</v>
      </c>
      <c r="G116" s="93">
        <f>SUM(H116:J116)</f>
        <v>2120</v>
      </c>
      <c r="H116" s="192">
        <v>2120</v>
      </c>
      <c r="I116" s="95">
        <v>0</v>
      </c>
      <c r="J116" s="95">
        <v>0</v>
      </c>
      <c r="K116" s="104">
        <f>G116/C116</f>
        <v>1</v>
      </c>
      <c r="L116" s="105"/>
    </row>
    <row r="117" spans="1:14" s="2" customFormat="1" ht="34.5" customHeight="1" x14ac:dyDescent="0.25">
      <c r="A117" s="103"/>
      <c r="B117" s="212" t="s">
        <v>152</v>
      </c>
      <c r="C117" s="212"/>
      <c r="D117" s="212"/>
      <c r="E117" s="212"/>
      <c r="F117" s="212"/>
      <c r="G117" s="212"/>
      <c r="H117" s="212"/>
      <c r="I117" s="212"/>
      <c r="J117" s="212"/>
      <c r="K117" s="212"/>
      <c r="L117" s="105"/>
    </row>
    <row r="118" spans="1:14" s="2" customFormat="1" ht="64.5" customHeight="1" x14ac:dyDescent="0.25">
      <c r="A118" s="103"/>
      <c r="B118" s="59" t="s">
        <v>153</v>
      </c>
      <c r="C118" s="95">
        <f>SUM(D118:F118)</f>
        <v>0</v>
      </c>
      <c r="D118" s="95">
        <v>0</v>
      </c>
      <c r="E118" s="95">
        <v>0</v>
      </c>
      <c r="F118" s="95">
        <v>0</v>
      </c>
      <c r="G118" s="93">
        <f>SUM(H118:J118)</f>
        <v>0</v>
      </c>
      <c r="H118" s="95">
        <v>0</v>
      </c>
      <c r="I118" s="95">
        <v>0</v>
      </c>
      <c r="J118" s="95">
        <v>0</v>
      </c>
      <c r="K118" s="110">
        <v>0</v>
      </c>
      <c r="L118" s="105"/>
    </row>
    <row r="119" spans="1:14" s="2" customFormat="1" ht="64.5" customHeight="1" x14ac:dyDescent="0.25">
      <c r="A119" s="103"/>
      <c r="B119" s="59" t="s">
        <v>154</v>
      </c>
      <c r="C119" s="95">
        <f>SUM(D119:F119)</f>
        <v>3000</v>
      </c>
      <c r="D119" s="95">
        <v>3000</v>
      </c>
      <c r="E119" s="95">
        <v>0</v>
      </c>
      <c r="F119" s="95">
        <v>0</v>
      </c>
      <c r="G119" s="93">
        <f>SUM(H119:J119)</f>
        <v>3000</v>
      </c>
      <c r="H119" s="192">
        <v>3000</v>
      </c>
      <c r="I119" s="95">
        <v>0</v>
      </c>
      <c r="J119" s="95">
        <v>0</v>
      </c>
      <c r="K119" s="104">
        <f>G119/C119</f>
        <v>1</v>
      </c>
      <c r="L119" s="105"/>
    </row>
    <row r="120" spans="1:14" s="2" customFormat="1" ht="21.75" customHeight="1" x14ac:dyDescent="0.25">
      <c r="A120" s="103"/>
      <c r="B120" s="202" t="s">
        <v>155</v>
      </c>
      <c r="C120" s="202"/>
      <c r="D120" s="202"/>
      <c r="E120" s="202"/>
      <c r="F120" s="202"/>
      <c r="G120" s="202"/>
      <c r="H120" s="202"/>
      <c r="I120" s="202"/>
      <c r="J120" s="202"/>
      <c r="K120" s="202"/>
      <c r="L120" s="105"/>
    </row>
    <row r="121" spans="1:14" s="2" customFormat="1" ht="98.25" customHeight="1" x14ac:dyDescent="0.25">
      <c r="A121" s="103"/>
      <c r="B121" s="59" t="s">
        <v>156</v>
      </c>
      <c r="C121" s="95">
        <f>SUM(D121:F121)</f>
        <v>6154</v>
      </c>
      <c r="D121" s="95">
        <v>0</v>
      </c>
      <c r="E121" s="95">
        <v>0</v>
      </c>
      <c r="F121" s="95">
        <v>6154</v>
      </c>
      <c r="G121" s="93">
        <f>H121+I121+J121</f>
        <v>1340</v>
      </c>
      <c r="H121" s="95">
        <v>0</v>
      </c>
      <c r="I121" s="95">
        <v>0</v>
      </c>
      <c r="J121" s="95">
        <v>1340</v>
      </c>
      <c r="K121" s="104">
        <f>G121/C121</f>
        <v>0.21774455638609036</v>
      </c>
      <c r="L121" s="105"/>
    </row>
    <row r="122" spans="1:14" s="2" customFormat="1" ht="69" customHeight="1" x14ac:dyDescent="0.25">
      <c r="A122" s="103"/>
      <c r="B122" s="59" t="s">
        <v>157</v>
      </c>
      <c r="C122" s="95">
        <f>SUM(D122:F122)</f>
        <v>11049.5</v>
      </c>
      <c r="D122" s="95">
        <v>9638.5</v>
      </c>
      <c r="E122" s="95">
        <v>1411</v>
      </c>
      <c r="F122" s="95">
        <v>0</v>
      </c>
      <c r="G122" s="93">
        <f>H122+I122</f>
        <v>8074.875</v>
      </c>
      <c r="H122" s="192">
        <v>7228.875</v>
      </c>
      <c r="I122" s="95">
        <v>846</v>
      </c>
      <c r="J122" s="95">
        <v>0</v>
      </c>
      <c r="K122" s="104">
        <f>G122/C122</f>
        <v>0.73079098601746684</v>
      </c>
      <c r="L122" s="105"/>
    </row>
    <row r="123" spans="1:14" s="2" customFormat="1" ht="20.45" customHeight="1" x14ac:dyDescent="0.25">
      <c r="A123" s="83" t="s">
        <v>158</v>
      </c>
      <c r="B123" s="203" t="s">
        <v>159</v>
      </c>
      <c r="C123" s="203"/>
      <c r="D123" s="203"/>
      <c r="E123" s="203"/>
      <c r="F123" s="203"/>
      <c r="G123" s="203"/>
      <c r="H123" s="203"/>
      <c r="I123" s="203"/>
      <c r="J123" s="203"/>
      <c r="K123" s="203"/>
      <c r="L123" s="111"/>
    </row>
    <row r="124" spans="1:14" s="2" customFormat="1" ht="46.5" customHeight="1" x14ac:dyDescent="0.25">
      <c r="A124" s="103"/>
      <c r="B124" s="112" t="s">
        <v>160</v>
      </c>
      <c r="C124" s="113">
        <f t="shared" ref="C124:J124" si="3">SUM(C127+C128+C131)</f>
        <v>72503.807000000001</v>
      </c>
      <c r="D124" s="113">
        <f t="shared" si="3"/>
        <v>72503.807000000001</v>
      </c>
      <c r="E124" s="114">
        <f t="shared" si="3"/>
        <v>0</v>
      </c>
      <c r="F124" s="114">
        <f t="shared" si="3"/>
        <v>0</v>
      </c>
      <c r="G124" s="87">
        <f t="shared" si="3"/>
        <v>53282.498</v>
      </c>
      <c r="H124" s="191">
        <f t="shared" si="3"/>
        <v>53282.498</v>
      </c>
      <c r="I124" s="114">
        <f t="shared" si="3"/>
        <v>0</v>
      </c>
      <c r="J124" s="114">
        <f t="shared" si="3"/>
        <v>0</v>
      </c>
      <c r="K124" s="115">
        <f>G124/C124</f>
        <v>0.73489241744230061</v>
      </c>
      <c r="L124" s="105"/>
    </row>
    <row r="125" spans="1:14" s="2" customFormat="1" ht="19.5" customHeight="1" x14ac:dyDescent="0.25">
      <c r="A125" s="103"/>
      <c r="B125" s="212" t="s">
        <v>161</v>
      </c>
      <c r="C125" s="212"/>
      <c r="D125" s="212"/>
      <c r="E125" s="212"/>
      <c r="F125" s="212"/>
      <c r="G125" s="212"/>
      <c r="H125" s="212"/>
      <c r="I125" s="212"/>
      <c r="J125" s="212"/>
      <c r="K125" s="212"/>
      <c r="L125" s="105"/>
    </row>
    <row r="126" spans="1:14" s="2" customFormat="1" ht="18.75" customHeight="1" x14ac:dyDescent="0.25">
      <c r="A126" s="103"/>
      <c r="B126" s="202" t="s">
        <v>162</v>
      </c>
      <c r="C126" s="202"/>
      <c r="D126" s="202"/>
      <c r="E126" s="202"/>
      <c r="F126" s="202"/>
      <c r="G126" s="202"/>
      <c r="H126" s="202"/>
      <c r="I126" s="202"/>
      <c r="J126" s="202"/>
      <c r="K126" s="202"/>
      <c r="L126" s="105"/>
    </row>
    <row r="127" spans="1:14" s="2" customFormat="1" ht="108" customHeight="1" x14ac:dyDescent="0.25">
      <c r="A127" s="103"/>
      <c r="B127" s="116" t="s">
        <v>163</v>
      </c>
      <c r="C127" s="95">
        <f>D127+E127+F127</f>
        <v>66187.016000000003</v>
      </c>
      <c r="D127" s="95">
        <f>30057+15676.516+20453.5</f>
        <v>66187.016000000003</v>
      </c>
      <c r="E127" s="95">
        <v>0</v>
      </c>
      <c r="F127" s="95">
        <v>0</v>
      </c>
      <c r="G127" s="93">
        <f>SUM(H127:J127)</f>
        <v>47098.127999999997</v>
      </c>
      <c r="H127" s="95">
        <f>22542.75+15340.125+9215.253</f>
        <v>47098.127999999997</v>
      </c>
      <c r="I127" s="95">
        <v>0</v>
      </c>
      <c r="J127" s="95">
        <v>0</v>
      </c>
      <c r="K127" s="104">
        <f>G127/C127</f>
        <v>0.71159165114801359</v>
      </c>
      <c r="L127" s="105"/>
      <c r="N127" s="117" t="s">
        <v>164</v>
      </c>
    </row>
    <row r="128" spans="1:14" s="2" customFormat="1" ht="99" customHeight="1" x14ac:dyDescent="0.25">
      <c r="A128" s="103"/>
      <c r="B128" s="116" t="s">
        <v>165</v>
      </c>
      <c r="C128" s="95">
        <f>SUM(D128:F128)</f>
        <v>300</v>
      </c>
      <c r="D128" s="95">
        <v>300</v>
      </c>
      <c r="E128" s="95">
        <v>0</v>
      </c>
      <c r="F128" s="95">
        <v>0</v>
      </c>
      <c r="G128" s="93">
        <f>H128+J128</f>
        <v>300</v>
      </c>
      <c r="H128" s="192">
        <v>300</v>
      </c>
      <c r="I128" s="95">
        <v>0</v>
      </c>
      <c r="J128" s="95">
        <v>0</v>
      </c>
      <c r="K128" s="104">
        <f>G128/C128</f>
        <v>1</v>
      </c>
      <c r="L128" s="105"/>
    </row>
    <row r="129" spans="1:14" s="2" customFormat="1" ht="20.25" customHeight="1" x14ac:dyDescent="0.25">
      <c r="A129" s="103"/>
      <c r="B129" s="218" t="s">
        <v>167</v>
      </c>
      <c r="C129" s="218"/>
      <c r="D129" s="218"/>
      <c r="E129" s="218"/>
      <c r="F129" s="218"/>
      <c r="G129" s="218"/>
      <c r="H129" s="218"/>
      <c r="I129" s="218"/>
      <c r="J129" s="218"/>
      <c r="K129" s="218"/>
      <c r="L129" s="105"/>
    </row>
    <row r="130" spans="1:14" s="2" customFormat="1" ht="15.75" hidden="1" customHeight="1" x14ac:dyDescent="0.25">
      <c r="A130" s="103"/>
      <c r="B130" s="218" t="s">
        <v>168</v>
      </c>
      <c r="C130" s="218"/>
      <c r="D130" s="218"/>
      <c r="E130" s="218"/>
      <c r="F130" s="218"/>
      <c r="G130" s="218"/>
      <c r="H130" s="218"/>
      <c r="I130" s="218"/>
      <c r="J130" s="218"/>
      <c r="K130" s="218"/>
      <c r="L130" s="105"/>
      <c r="N130" s="118"/>
    </row>
    <row r="131" spans="1:14" s="2" customFormat="1" ht="132" customHeight="1" x14ac:dyDescent="0.25">
      <c r="A131" s="103"/>
      <c r="B131" s="116" t="s">
        <v>169</v>
      </c>
      <c r="C131" s="95">
        <f>D131+E131+F131</f>
        <v>6016.7910000000002</v>
      </c>
      <c r="D131" s="95">
        <f>4754.613+1262.178</f>
        <v>6016.7910000000002</v>
      </c>
      <c r="E131" s="95">
        <v>0</v>
      </c>
      <c r="F131" s="95">
        <v>0</v>
      </c>
      <c r="G131" s="93">
        <f>SUM(H131:J131)</f>
        <v>5884.37</v>
      </c>
      <c r="H131" s="95">
        <f>1262.178+4622.192</f>
        <v>5884.37</v>
      </c>
      <c r="I131" s="95">
        <v>0</v>
      </c>
      <c r="J131" s="95">
        <v>0</v>
      </c>
      <c r="K131" s="104">
        <f>G131/C131</f>
        <v>0.97799142433233921</v>
      </c>
      <c r="L131" s="105"/>
    </row>
    <row r="132" spans="1:14" s="2" customFormat="1" ht="19.5" customHeight="1" x14ac:dyDescent="0.25">
      <c r="A132" s="83" t="s">
        <v>170</v>
      </c>
      <c r="B132" s="208" t="s">
        <v>171</v>
      </c>
      <c r="C132" s="208"/>
      <c r="D132" s="208"/>
      <c r="E132" s="208"/>
      <c r="F132" s="208"/>
      <c r="G132" s="208"/>
      <c r="H132" s="208"/>
      <c r="I132" s="208"/>
      <c r="J132" s="208"/>
      <c r="K132" s="208"/>
      <c r="L132" s="119"/>
    </row>
    <row r="133" spans="1:14" s="2" customFormat="1" ht="47.45" customHeight="1" x14ac:dyDescent="0.25">
      <c r="A133" s="85"/>
      <c r="B133" s="120" t="s">
        <v>172</v>
      </c>
      <c r="C133" s="113">
        <f>SUM(C136+C138+C140)</f>
        <v>581.93225000000007</v>
      </c>
      <c r="D133" s="113">
        <f>SUM(D136+D138+D140)</f>
        <v>581.93225000000007</v>
      </c>
      <c r="E133" s="113">
        <f>SUM(E136+E138+E140)</f>
        <v>0</v>
      </c>
      <c r="F133" s="113">
        <f>SUM(F136+F138+F140)</f>
        <v>0</v>
      </c>
      <c r="G133" s="121">
        <f>SUM(G136+G138+G140)</f>
        <v>269.22000000000003</v>
      </c>
      <c r="H133" s="191">
        <f>H136+H138+H140</f>
        <v>269.22000000000003</v>
      </c>
      <c r="I133" s="113">
        <f>SUM(I136+I138+I140)</f>
        <v>0</v>
      </c>
      <c r="J133" s="113">
        <f>SUM(J136+J138+J140)</f>
        <v>0</v>
      </c>
      <c r="K133" s="122">
        <f>G133/C133</f>
        <v>0.46263117398975567</v>
      </c>
      <c r="L133" s="102"/>
    </row>
    <row r="134" spans="1:14" s="2" customFormat="1" ht="18" customHeight="1" x14ac:dyDescent="0.25">
      <c r="A134" s="97"/>
      <c r="B134" s="216" t="s">
        <v>173</v>
      </c>
      <c r="C134" s="216"/>
      <c r="D134" s="216"/>
      <c r="E134" s="216"/>
      <c r="F134" s="216"/>
      <c r="G134" s="216"/>
      <c r="H134" s="216"/>
      <c r="I134" s="216"/>
      <c r="J134" s="216"/>
      <c r="K134" s="216"/>
      <c r="L134" s="98"/>
    </row>
    <row r="135" spans="1:14" s="2" customFormat="1" ht="17.25" customHeight="1" x14ac:dyDescent="0.25">
      <c r="A135" s="85"/>
      <c r="B135" s="212" t="s">
        <v>174</v>
      </c>
      <c r="C135" s="212"/>
      <c r="D135" s="212"/>
      <c r="E135" s="212"/>
      <c r="F135" s="212"/>
      <c r="G135" s="212"/>
      <c r="H135" s="212"/>
      <c r="I135" s="212"/>
      <c r="J135" s="212"/>
      <c r="K135" s="212"/>
      <c r="L135" s="102"/>
    </row>
    <row r="136" spans="1:14" s="2" customFormat="1" ht="64.5" customHeight="1" x14ac:dyDescent="0.25">
      <c r="A136" s="85"/>
      <c r="B136" s="59" t="s">
        <v>175</v>
      </c>
      <c r="C136" s="95">
        <f>SUM(D136:F136)</f>
        <v>0</v>
      </c>
      <c r="D136" s="95">
        <v>0</v>
      </c>
      <c r="E136" s="95">
        <v>0</v>
      </c>
      <c r="F136" s="95">
        <v>0</v>
      </c>
      <c r="G136" s="93">
        <f>H136+I136+J136</f>
        <v>0</v>
      </c>
      <c r="H136" s="95">
        <v>0</v>
      </c>
      <c r="I136" s="95">
        <v>0</v>
      </c>
      <c r="J136" s="95">
        <v>0</v>
      </c>
      <c r="K136" s="104">
        <v>0</v>
      </c>
      <c r="L136" s="102"/>
    </row>
    <row r="137" spans="1:14" s="2" customFormat="1" ht="21.2" customHeight="1" x14ac:dyDescent="0.25">
      <c r="A137" s="85"/>
      <c r="B137" s="202" t="s">
        <v>176</v>
      </c>
      <c r="C137" s="202"/>
      <c r="D137" s="202"/>
      <c r="E137" s="202"/>
      <c r="F137" s="202"/>
      <c r="G137" s="202"/>
      <c r="H137" s="202"/>
      <c r="I137" s="202"/>
      <c r="J137" s="202"/>
      <c r="K137" s="202"/>
      <c r="L137" s="102"/>
    </row>
    <row r="138" spans="1:14" s="2" customFormat="1" ht="48.75" customHeight="1" x14ac:dyDescent="0.25">
      <c r="A138" s="85"/>
      <c r="B138" s="59" t="s">
        <v>177</v>
      </c>
      <c r="C138" s="95">
        <f>SUM(D138:F138)</f>
        <v>246.93225000000001</v>
      </c>
      <c r="D138" s="95">
        <v>246.93225000000001</v>
      </c>
      <c r="E138" s="95">
        <v>0</v>
      </c>
      <c r="F138" s="95">
        <v>0</v>
      </c>
      <c r="G138" s="93">
        <f>H138+I138+J138</f>
        <v>0</v>
      </c>
      <c r="H138" s="95">
        <v>0</v>
      </c>
      <c r="I138" s="95">
        <v>0</v>
      </c>
      <c r="J138" s="95">
        <v>0</v>
      </c>
      <c r="K138" s="104">
        <f>G138/C138</f>
        <v>0</v>
      </c>
      <c r="L138" s="102"/>
    </row>
    <row r="139" spans="1:14" s="2" customFormat="1" ht="30.75" customHeight="1" x14ac:dyDescent="0.25">
      <c r="A139" s="85"/>
      <c r="B139" s="212" t="s">
        <v>178</v>
      </c>
      <c r="C139" s="212"/>
      <c r="D139" s="212"/>
      <c r="E139" s="212"/>
      <c r="F139" s="212"/>
      <c r="G139" s="212"/>
      <c r="H139" s="212"/>
      <c r="I139" s="212"/>
      <c r="J139" s="212"/>
      <c r="K139" s="212"/>
      <c r="L139" s="102"/>
    </row>
    <row r="140" spans="1:14" s="2" customFormat="1" ht="63" customHeight="1" x14ac:dyDescent="0.25">
      <c r="A140" s="85"/>
      <c r="B140" s="59" t="s">
        <v>179</v>
      </c>
      <c r="C140" s="95">
        <f>SUM(D140:F140)</f>
        <v>335</v>
      </c>
      <c r="D140" s="95">
        <v>335</v>
      </c>
      <c r="E140" s="95">
        <v>0</v>
      </c>
      <c r="F140" s="95">
        <v>0</v>
      </c>
      <c r="G140" s="93">
        <f>H140+I140+J140</f>
        <v>269.22000000000003</v>
      </c>
      <c r="H140" s="192">
        <v>269.22000000000003</v>
      </c>
      <c r="I140" s="95">
        <v>0</v>
      </c>
      <c r="J140" s="95">
        <v>0</v>
      </c>
      <c r="K140" s="104">
        <f>G140/C140</f>
        <v>0.80364179104477618</v>
      </c>
      <c r="L140" s="102"/>
    </row>
    <row r="141" spans="1:14" s="2" customFormat="1" ht="18" customHeight="1" x14ac:dyDescent="0.25">
      <c r="A141" s="85"/>
      <c r="B141" s="212" t="s">
        <v>180</v>
      </c>
      <c r="C141" s="212"/>
      <c r="D141" s="212"/>
      <c r="E141" s="212"/>
      <c r="F141" s="212"/>
      <c r="G141" s="212"/>
      <c r="H141" s="212"/>
      <c r="I141" s="212"/>
      <c r="J141" s="212"/>
      <c r="K141" s="212"/>
      <c r="L141" s="102"/>
    </row>
    <row r="142" spans="1:14" s="2" customFormat="1" ht="84" customHeight="1" x14ac:dyDescent="0.25">
      <c r="A142" s="85"/>
      <c r="B142" s="59" t="s">
        <v>181</v>
      </c>
      <c r="C142" s="95">
        <f>SUM(D142:F142)</f>
        <v>0</v>
      </c>
      <c r="D142" s="95">
        <v>0</v>
      </c>
      <c r="E142" s="95">
        <v>0</v>
      </c>
      <c r="F142" s="95">
        <v>0</v>
      </c>
      <c r="G142" s="93">
        <f>H142+I142+J142</f>
        <v>0</v>
      </c>
      <c r="H142" s="95">
        <v>0</v>
      </c>
      <c r="I142" s="95">
        <v>0</v>
      </c>
      <c r="J142" s="95">
        <v>0</v>
      </c>
      <c r="K142" s="104">
        <v>0</v>
      </c>
      <c r="L142" s="102"/>
    </row>
    <row r="143" spans="1:14" s="2" customFormat="1" ht="19.5" customHeight="1" x14ac:dyDescent="0.25">
      <c r="A143" s="83" t="s">
        <v>182</v>
      </c>
      <c r="B143" s="208" t="s">
        <v>183</v>
      </c>
      <c r="C143" s="208"/>
      <c r="D143" s="208"/>
      <c r="E143" s="208"/>
      <c r="F143" s="208"/>
      <c r="G143" s="208"/>
      <c r="H143" s="208"/>
      <c r="I143" s="208"/>
      <c r="J143" s="208"/>
      <c r="K143" s="208"/>
      <c r="L143" s="111"/>
    </row>
    <row r="144" spans="1:14" s="2" customFormat="1" ht="53.25" customHeight="1" x14ac:dyDescent="0.25">
      <c r="A144" s="85"/>
      <c r="B144" s="123" t="s">
        <v>184</v>
      </c>
      <c r="C144" s="89">
        <f>SUM(C147+C149)</f>
        <v>7427.9444000000003</v>
      </c>
      <c r="D144" s="88">
        <f>D147+D149</f>
        <v>3578.4444000000003</v>
      </c>
      <c r="E144" s="113">
        <f>SUM(E147+E149)</f>
        <v>3849.5</v>
      </c>
      <c r="F144" s="88">
        <f>SUM(F147+F149)</f>
        <v>0</v>
      </c>
      <c r="G144" s="121">
        <f>H144+I144</f>
        <v>6923.3159999999998</v>
      </c>
      <c r="H144" s="191">
        <f>H147+H149</f>
        <v>3396.0249999999996</v>
      </c>
      <c r="I144" s="191">
        <f>I147+I149</f>
        <v>3527.2910000000002</v>
      </c>
      <c r="J144" s="88">
        <f>SUM(J147+J149)</f>
        <v>0</v>
      </c>
      <c r="K144" s="90">
        <f>G144/C144</f>
        <v>0.93206351948460997</v>
      </c>
      <c r="L144" s="102"/>
    </row>
    <row r="145" spans="1:12" s="2" customFormat="1" ht="19.5" customHeight="1" x14ac:dyDescent="0.25">
      <c r="A145" s="85"/>
      <c r="B145" s="217" t="s">
        <v>185</v>
      </c>
      <c r="C145" s="217"/>
      <c r="D145" s="217"/>
      <c r="E145" s="217"/>
      <c r="F145" s="217"/>
      <c r="G145" s="217"/>
      <c r="H145" s="217"/>
      <c r="I145" s="217"/>
      <c r="J145" s="217"/>
      <c r="K145" s="217"/>
      <c r="L145" s="102"/>
    </row>
    <row r="146" spans="1:12" s="2" customFormat="1" ht="20.45" customHeight="1" x14ac:dyDescent="0.25">
      <c r="A146" s="85"/>
      <c r="B146" s="217" t="s">
        <v>186</v>
      </c>
      <c r="C146" s="217"/>
      <c r="D146" s="217"/>
      <c r="E146" s="217"/>
      <c r="F146" s="217"/>
      <c r="G146" s="217"/>
      <c r="H146" s="217"/>
      <c r="I146" s="217"/>
      <c r="J146" s="217"/>
      <c r="K146" s="217"/>
      <c r="L146" s="102"/>
    </row>
    <row r="147" spans="1:12" s="2" customFormat="1" ht="51.75" customHeight="1" x14ac:dyDescent="0.25">
      <c r="A147" s="85"/>
      <c r="B147" s="92" t="s">
        <v>386</v>
      </c>
      <c r="C147" s="94">
        <f>D147+E147</f>
        <v>6371.67</v>
      </c>
      <c r="D147" s="94">
        <v>2522.17</v>
      </c>
      <c r="E147" s="95">
        <f>3219.5+630</f>
        <v>3849.5</v>
      </c>
      <c r="F147" s="94">
        <v>0</v>
      </c>
      <c r="G147" s="93">
        <f>I147+H147</f>
        <v>5867.0159999999996</v>
      </c>
      <c r="H147" s="192">
        <v>2339.7249999999999</v>
      </c>
      <c r="I147" s="192">
        <v>3527.2910000000002</v>
      </c>
      <c r="J147" s="94">
        <v>0</v>
      </c>
      <c r="K147" s="96">
        <f>G147/C147</f>
        <v>0.920797216428346</v>
      </c>
      <c r="L147" s="102"/>
    </row>
    <row r="148" spans="1:12" s="2" customFormat="1" ht="15.75" customHeight="1" x14ac:dyDescent="0.25">
      <c r="A148" s="97"/>
      <c r="B148" s="215" t="s">
        <v>188</v>
      </c>
      <c r="C148" s="215"/>
      <c r="D148" s="215"/>
      <c r="E148" s="215"/>
      <c r="F148" s="215"/>
      <c r="G148" s="215"/>
      <c r="H148" s="215"/>
      <c r="I148" s="215"/>
      <c r="J148" s="215"/>
      <c r="K148" s="215"/>
      <c r="L148" s="98"/>
    </row>
    <row r="149" spans="1:12" s="2" customFormat="1" ht="50.25" customHeight="1" x14ac:dyDescent="0.25">
      <c r="A149" s="85"/>
      <c r="B149" s="92" t="s">
        <v>189</v>
      </c>
      <c r="C149" s="94">
        <f>D149+E149+F149</f>
        <v>1056.2744</v>
      </c>
      <c r="D149" s="94">
        <v>1056.2744</v>
      </c>
      <c r="E149" s="95">
        <v>0</v>
      </c>
      <c r="F149" s="94">
        <v>0</v>
      </c>
      <c r="G149" s="93">
        <f>SUM(H149:J149)</f>
        <v>1056.3</v>
      </c>
      <c r="H149" s="192">
        <v>1056.3</v>
      </c>
      <c r="I149" s="95">
        <v>0</v>
      </c>
      <c r="J149" s="94">
        <v>0</v>
      </c>
      <c r="K149" s="96">
        <f>G149/C149</f>
        <v>1.0000242361265217</v>
      </c>
      <c r="L149" s="91"/>
    </row>
    <row r="150" spans="1:12" s="127" customFormat="1" ht="115.5" customHeight="1" x14ac:dyDescent="0.2">
      <c r="A150" s="8" t="s">
        <v>190</v>
      </c>
      <c r="B150" s="9" t="s">
        <v>191</v>
      </c>
      <c r="C150" s="124">
        <f>SUM(C152+C164+C175+C187+C197+C207)</f>
        <v>356.4</v>
      </c>
      <c r="D150" s="124">
        <f>SUM(D152+D164+D175+D187+D197+D207)</f>
        <v>356.4</v>
      </c>
      <c r="E150" s="124">
        <f>SUM(E152+E164+E175+E187+E197+E207)</f>
        <v>0</v>
      </c>
      <c r="F150" s="124">
        <f>SUM(F152+F164+F175+F187)</f>
        <v>0</v>
      </c>
      <c r="G150" s="124">
        <f>SUM(G152+G164+G175+G187+G197+G207)</f>
        <v>345.38599999999997</v>
      </c>
      <c r="H150" s="124">
        <f>SUM(H152+H164+H175+H187+H197+H207)</f>
        <v>345.38599999999997</v>
      </c>
      <c r="I150" s="124">
        <f>SUM(I152+I164+I175+I187)</f>
        <v>0</v>
      </c>
      <c r="J150" s="124">
        <f>SUM(J152+J164+J175+J187)</f>
        <v>0</v>
      </c>
      <c r="K150" s="125">
        <f>G150/C150</f>
        <v>0.96909652076318742</v>
      </c>
      <c r="L150" s="126"/>
    </row>
    <row r="151" spans="1:12" s="128" customFormat="1" ht="15.95" customHeight="1" x14ac:dyDescent="0.25">
      <c r="A151" s="28" t="s">
        <v>192</v>
      </c>
      <c r="B151" s="203" t="s">
        <v>193</v>
      </c>
      <c r="C151" s="203"/>
      <c r="D151" s="203"/>
      <c r="E151" s="203"/>
      <c r="F151" s="203"/>
      <c r="G151" s="203"/>
      <c r="H151" s="203"/>
      <c r="I151" s="203"/>
      <c r="J151" s="203"/>
      <c r="K151" s="203"/>
      <c r="L151" s="203"/>
    </row>
    <row r="152" spans="1:12" s="127" customFormat="1" ht="34.700000000000003" customHeight="1" x14ac:dyDescent="0.2">
      <c r="A152" s="129"/>
      <c r="B152" s="17" t="s">
        <v>194</v>
      </c>
      <c r="C152" s="70">
        <f>SUM(C155:C162)</f>
        <v>64.900000000000006</v>
      </c>
      <c r="D152" s="71">
        <f>D155+D156+D157+D159+D160+D162+D161</f>
        <v>64.900000000000006</v>
      </c>
      <c r="E152" s="71">
        <f>SUM(E155:E162)</f>
        <v>0</v>
      </c>
      <c r="F152" s="71">
        <f>SUM(F155:F162)</f>
        <v>0</v>
      </c>
      <c r="G152" s="70">
        <f>H152+I152+J152</f>
        <v>64.900000000000006</v>
      </c>
      <c r="H152" s="193">
        <f>H155+H156+H159+H160+H162+H161</f>
        <v>64.900000000000006</v>
      </c>
      <c r="I152" s="71">
        <f>SUM(I155:I162)</f>
        <v>0</v>
      </c>
      <c r="J152" s="71">
        <f>SUM(J155:J162)</f>
        <v>0</v>
      </c>
      <c r="K152" s="20">
        <f>G152/C152</f>
        <v>1</v>
      </c>
      <c r="L152" s="130"/>
    </row>
    <row r="153" spans="1:12" s="128" customFormat="1" ht="18" customHeight="1" x14ac:dyDescent="0.25">
      <c r="A153" s="131"/>
      <c r="B153" s="212" t="s">
        <v>195</v>
      </c>
      <c r="C153" s="212"/>
      <c r="D153" s="212"/>
      <c r="E153" s="212"/>
      <c r="F153" s="212"/>
      <c r="G153" s="212"/>
      <c r="H153" s="212"/>
      <c r="I153" s="212"/>
      <c r="J153" s="212"/>
      <c r="K153" s="212"/>
      <c r="L153" s="212"/>
    </row>
    <row r="154" spans="1:12" s="128" customFormat="1" ht="15.95" customHeight="1" x14ac:dyDescent="0.25">
      <c r="A154" s="131"/>
      <c r="B154" s="212" t="s">
        <v>196</v>
      </c>
      <c r="C154" s="212"/>
      <c r="D154" s="212"/>
      <c r="E154" s="212"/>
      <c r="F154" s="212"/>
      <c r="G154" s="212"/>
      <c r="H154" s="212"/>
      <c r="I154" s="212"/>
      <c r="J154" s="212"/>
      <c r="K154" s="212"/>
      <c r="L154" s="212"/>
    </row>
    <row r="155" spans="1:12" s="127" customFormat="1" ht="104.25" customHeight="1" x14ac:dyDescent="0.2">
      <c r="A155" s="129"/>
      <c r="B155" s="17" t="s">
        <v>197</v>
      </c>
      <c r="C155" s="132">
        <f>SUM(D155:F155)</f>
        <v>0</v>
      </c>
      <c r="D155" s="133">
        <v>0</v>
      </c>
      <c r="E155" s="133">
        <v>0</v>
      </c>
      <c r="F155" s="133">
        <v>0</v>
      </c>
      <c r="G155" s="132">
        <f>H155+I155+J155</f>
        <v>0</v>
      </c>
      <c r="H155" s="133">
        <v>0</v>
      </c>
      <c r="I155" s="133">
        <v>0</v>
      </c>
      <c r="J155" s="133">
        <v>0</v>
      </c>
      <c r="K155" s="20">
        <v>0</v>
      </c>
      <c r="L155" s="130"/>
    </row>
    <row r="156" spans="1:12" s="14" customFormat="1" ht="47.25" x14ac:dyDescent="0.2">
      <c r="A156" s="24"/>
      <c r="B156" s="134" t="s">
        <v>198</v>
      </c>
      <c r="C156" s="132">
        <f>SUM(D156:F156)</f>
        <v>0</v>
      </c>
      <c r="D156" s="133">
        <v>0</v>
      </c>
      <c r="E156" s="133">
        <v>0</v>
      </c>
      <c r="F156" s="133">
        <v>0</v>
      </c>
      <c r="G156" s="132">
        <f>SUM(H156:J156)</f>
        <v>0</v>
      </c>
      <c r="H156" s="133">
        <v>0</v>
      </c>
      <c r="I156" s="133">
        <v>0</v>
      </c>
      <c r="J156" s="133">
        <v>0</v>
      </c>
      <c r="K156" s="20">
        <v>0</v>
      </c>
      <c r="L156" s="25"/>
    </row>
    <row r="157" spans="1:12" s="14" customFormat="1" ht="63" x14ac:dyDescent="0.2">
      <c r="A157" s="24"/>
      <c r="B157" s="17" t="s">
        <v>199</v>
      </c>
      <c r="C157" s="132">
        <f>SUM(D157:F157)</f>
        <v>0</v>
      </c>
      <c r="D157" s="133">
        <v>0</v>
      </c>
      <c r="E157" s="133">
        <v>0</v>
      </c>
      <c r="F157" s="133">
        <v>0</v>
      </c>
      <c r="G157" s="132">
        <f>SUM(H157:J157)</f>
        <v>0</v>
      </c>
      <c r="H157" s="133">
        <v>0</v>
      </c>
      <c r="I157" s="133">
        <v>0</v>
      </c>
      <c r="J157" s="133">
        <v>0</v>
      </c>
      <c r="K157" s="20">
        <v>0</v>
      </c>
      <c r="L157" s="25"/>
    </row>
    <row r="158" spans="1:12" s="128" customFormat="1" ht="15.95" customHeight="1" x14ac:dyDescent="0.25">
      <c r="A158" s="131"/>
      <c r="B158" s="212" t="s">
        <v>200</v>
      </c>
      <c r="C158" s="212"/>
      <c r="D158" s="212"/>
      <c r="E158" s="212"/>
      <c r="F158" s="212"/>
      <c r="G158" s="212"/>
      <c r="H158" s="212"/>
      <c r="I158" s="212"/>
      <c r="J158" s="212"/>
      <c r="K158" s="212"/>
      <c r="L158" s="212"/>
    </row>
    <row r="159" spans="1:12" s="14" customFormat="1" ht="88.5" customHeight="1" x14ac:dyDescent="0.2">
      <c r="A159" s="24"/>
      <c r="B159" s="17" t="s">
        <v>201</v>
      </c>
      <c r="C159" s="132">
        <f>SUM(D159:F159)</f>
        <v>21</v>
      </c>
      <c r="D159" s="133">
        <v>21</v>
      </c>
      <c r="E159" s="133">
        <v>0</v>
      </c>
      <c r="F159" s="133">
        <v>0</v>
      </c>
      <c r="G159" s="132">
        <f>SUM(H159:J159)</f>
        <v>21</v>
      </c>
      <c r="H159" s="194">
        <v>21</v>
      </c>
      <c r="I159" s="133">
        <v>0</v>
      </c>
      <c r="J159" s="133">
        <v>0</v>
      </c>
      <c r="K159" s="20">
        <f>G159/C159</f>
        <v>1</v>
      </c>
      <c r="L159" s="25"/>
    </row>
    <row r="160" spans="1:12" s="14" customFormat="1" ht="51" customHeight="1" x14ac:dyDescent="0.2">
      <c r="A160" s="24"/>
      <c r="B160" s="17" t="s">
        <v>202</v>
      </c>
      <c r="C160" s="132">
        <f>SUM(D160:F160)</f>
        <v>12</v>
      </c>
      <c r="D160" s="133">
        <v>12</v>
      </c>
      <c r="E160" s="133">
        <v>0</v>
      </c>
      <c r="F160" s="133">
        <v>0</v>
      </c>
      <c r="G160" s="132">
        <f>SUM(H160:J160)</f>
        <v>12</v>
      </c>
      <c r="H160" s="194">
        <v>12</v>
      </c>
      <c r="I160" s="133">
        <v>0</v>
      </c>
      <c r="J160" s="133">
        <v>0</v>
      </c>
      <c r="K160" s="20">
        <f>G160/C160</f>
        <v>1</v>
      </c>
      <c r="L160" s="25"/>
    </row>
    <row r="161" spans="1:15" s="14" customFormat="1" ht="50.25" customHeight="1" x14ac:dyDescent="0.2">
      <c r="A161" s="24"/>
      <c r="B161" s="17" t="s">
        <v>203</v>
      </c>
      <c r="C161" s="132">
        <f>SUM(D161:F161)</f>
        <v>12</v>
      </c>
      <c r="D161" s="133">
        <v>12</v>
      </c>
      <c r="E161" s="133">
        <v>0</v>
      </c>
      <c r="F161" s="133">
        <v>0</v>
      </c>
      <c r="G161" s="132">
        <f>SUM(H161:J161)</f>
        <v>12</v>
      </c>
      <c r="H161" s="194">
        <v>12</v>
      </c>
      <c r="I161" s="133">
        <v>0</v>
      </c>
      <c r="J161" s="133">
        <v>0</v>
      </c>
      <c r="K161" s="20">
        <f>G161/C161</f>
        <v>1</v>
      </c>
      <c r="L161" s="25"/>
    </row>
    <row r="162" spans="1:15" s="14" customFormat="1" ht="63" x14ac:dyDescent="0.2">
      <c r="A162" s="24"/>
      <c r="B162" s="17" t="s">
        <v>204</v>
      </c>
      <c r="C162" s="132">
        <v>19.899999999999999</v>
      </c>
      <c r="D162" s="133">
        <v>19.899999999999999</v>
      </c>
      <c r="E162" s="133">
        <v>0</v>
      </c>
      <c r="F162" s="133">
        <v>0</v>
      </c>
      <c r="G162" s="132">
        <v>19.899999999999999</v>
      </c>
      <c r="H162" s="194">
        <v>19.899999999999999</v>
      </c>
      <c r="I162" s="133">
        <v>0</v>
      </c>
      <c r="J162" s="133">
        <v>0</v>
      </c>
      <c r="K162" s="20">
        <f>G162/C162</f>
        <v>1</v>
      </c>
      <c r="L162" s="25"/>
    </row>
    <row r="163" spans="1:15" s="2" customFormat="1" ht="15.75" customHeight="1" x14ac:dyDescent="0.25">
      <c r="A163" s="28" t="s">
        <v>205</v>
      </c>
      <c r="B163" s="203" t="s">
        <v>206</v>
      </c>
      <c r="C163" s="203"/>
      <c r="D163" s="203"/>
      <c r="E163" s="203"/>
      <c r="F163" s="203"/>
      <c r="G163" s="203"/>
      <c r="H163" s="203"/>
      <c r="I163" s="203"/>
      <c r="J163" s="203"/>
      <c r="K163" s="203"/>
      <c r="L163" s="203"/>
      <c r="O163" s="135"/>
    </row>
    <row r="164" spans="1:15" s="14" customFormat="1" ht="32.25" customHeight="1" x14ac:dyDescent="0.2">
      <c r="A164" s="24"/>
      <c r="B164" s="17" t="s">
        <v>207</v>
      </c>
      <c r="C164" s="70">
        <f>D164+E164+F164</f>
        <v>26</v>
      </c>
      <c r="D164" s="71">
        <f>D167+D168+D169+D170+D172+D173</f>
        <v>26</v>
      </c>
      <c r="E164" s="71">
        <f>SUM(E167:E173)</f>
        <v>0</v>
      </c>
      <c r="F164" s="71">
        <f>SUM(F167:F173)</f>
        <v>0</v>
      </c>
      <c r="G164" s="70">
        <f>H164+I164+J164</f>
        <v>26</v>
      </c>
      <c r="H164" s="193">
        <f>H167+H168+H169+H170+H172+H173</f>
        <v>26</v>
      </c>
      <c r="I164" s="71">
        <f>SUM(I167:I173)</f>
        <v>0</v>
      </c>
      <c r="J164" s="71">
        <f>SUM(J167:J173)</f>
        <v>0</v>
      </c>
      <c r="K164" s="20">
        <f>G164/C164</f>
        <v>1</v>
      </c>
      <c r="L164" s="25"/>
    </row>
    <row r="165" spans="1:15" s="2" customFormat="1" ht="17.25" customHeight="1" x14ac:dyDescent="0.25">
      <c r="A165" s="23"/>
      <c r="B165" s="212" t="s">
        <v>208</v>
      </c>
      <c r="C165" s="212"/>
      <c r="D165" s="212"/>
      <c r="E165" s="212"/>
      <c r="F165" s="212"/>
      <c r="G165" s="212"/>
      <c r="H165" s="212"/>
      <c r="I165" s="212"/>
      <c r="J165" s="212"/>
      <c r="K165" s="212"/>
      <c r="L165" s="212"/>
    </row>
    <row r="166" spans="1:15" s="2" customFormat="1" ht="15.75" customHeight="1" x14ac:dyDescent="0.25">
      <c r="A166" s="23"/>
      <c r="B166" s="212" t="s">
        <v>209</v>
      </c>
      <c r="C166" s="212"/>
      <c r="D166" s="212"/>
      <c r="E166" s="212"/>
      <c r="F166" s="212"/>
      <c r="G166" s="212"/>
      <c r="H166" s="212"/>
      <c r="I166" s="212"/>
      <c r="J166" s="212"/>
      <c r="K166" s="212"/>
      <c r="L166" s="212"/>
    </row>
    <row r="167" spans="1:15" s="14" customFormat="1" ht="102.75" customHeight="1" x14ac:dyDescent="0.2">
      <c r="A167" s="24"/>
      <c r="B167" s="17" t="s">
        <v>210</v>
      </c>
      <c r="C167" s="70">
        <f>SUM(D167:F167)</f>
        <v>0</v>
      </c>
      <c r="D167" s="71">
        <v>0</v>
      </c>
      <c r="E167" s="71">
        <v>0</v>
      </c>
      <c r="F167" s="71">
        <v>0</v>
      </c>
      <c r="G167" s="70">
        <f>SUM(H167:J167)</f>
        <v>0</v>
      </c>
      <c r="H167" s="71">
        <v>0</v>
      </c>
      <c r="I167" s="71">
        <v>0</v>
      </c>
      <c r="J167" s="71">
        <v>0</v>
      </c>
      <c r="K167" s="20">
        <v>0</v>
      </c>
      <c r="L167" s="33"/>
    </row>
    <row r="168" spans="1:15" s="14" customFormat="1" ht="41.25" customHeight="1" x14ac:dyDescent="0.2">
      <c r="A168" s="24"/>
      <c r="B168" s="17" t="s">
        <v>198</v>
      </c>
      <c r="C168" s="70">
        <f>SUM(D168:F168)</f>
        <v>0</v>
      </c>
      <c r="D168" s="71">
        <v>0</v>
      </c>
      <c r="E168" s="71">
        <v>0</v>
      </c>
      <c r="F168" s="71">
        <v>0</v>
      </c>
      <c r="G168" s="70">
        <f>SUM(H168:J168)</f>
        <v>0</v>
      </c>
      <c r="H168" s="71">
        <v>0</v>
      </c>
      <c r="I168" s="71">
        <v>0</v>
      </c>
      <c r="J168" s="71">
        <v>0</v>
      </c>
      <c r="K168" s="20">
        <v>0</v>
      </c>
      <c r="L168" s="33"/>
    </row>
    <row r="169" spans="1:15" s="14" customFormat="1" ht="66.75" customHeight="1" x14ac:dyDescent="0.2">
      <c r="A169" s="24"/>
      <c r="B169" s="17" t="s">
        <v>211</v>
      </c>
      <c r="C169" s="70">
        <f>SUM(D169:F169)</f>
        <v>0</v>
      </c>
      <c r="D169" s="71">
        <v>0</v>
      </c>
      <c r="E169" s="71">
        <v>0</v>
      </c>
      <c r="F169" s="71">
        <v>0</v>
      </c>
      <c r="G169" s="70">
        <f>SUM(H169:J169)</f>
        <v>0</v>
      </c>
      <c r="H169" s="71">
        <v>0</v>
      </c>
      <c r="I169" s="71">
        <v>0</v>
      </c>
      <c r="J169" s="71">
        <v>0</v>
      </c>
      <c r="K169" s="20">
        <v>0</v>
      </c>
      <c r="L169" s="64"/>
    </row>
    <row r="170" spans="1:15" s="14" customFormat="1" ht="68.25" customHeight="1" x14ac:dyDescent="0.2">
      <c r="A170" s="24"/>
      <c r="B170" s="17" t="s">
        <v>212</v>
      </c>
      <c r="C170" s="70">
        <f>SUM(D170:F170)</f>
        <v>0</v>
      </c>
      <c r="D170" s="31">
        <v>0</v>
      </c>
      <c r="E170" s="31">
        <v>0</v>
      </c>
      <c r="F170" s="31">
        <v>0</v>
      </c>
      <c r="G170" s="70">
        <f>SUM(H170:J170)</f>
        <v>0</v>
      </c>
      <c r="H170" s="71">
        <v>0</v>
      </c>
      <c r="I170" s="31">
        <v>0</v>
      </c>
      <c r="J170" s="31">
        <v>0</v>
      </c>
      <c r="K170" s="20">
        <v>0</v>
      </c>
      <c r="L170" s="136"/>
    </row>
    <row r="171" spans="1:15" s="2" customFormat="1" ht="15.75" customHeight="1" x14ac:dyDescent="0.25">
      <c r="A171" s="23"/>
      <c r="B171" s="212" t="s">
        <v>213</v>
      </c>
      <c r="C171" s="212"/>
      <c r="D171" s="212"/>
      <c r="E171" s="212"/>
      <c r="F171" s="212"/>
      <c r="G171" s="212"/>
      <c r="H171" s="212"/>
      <c r="I171" s="212"/>
      <c r="J171" s="212"/>
      <c r="K171" s="212"/>
      <c r="L171" s="212"/>
    </row>
    <row r="172" spans="1:15" s="14" customFormat="1" ht="85.5" customHeight="1" x14ac:dyDescent="0.2">
      <c r="A172" s="24"/>
      <c r="B172" s="17" t="s">
        <v>214</v>
      </c>
      <c r="C172" s="70">
        <f>SUM(D172:F172)</f>
        <v>17</v>
      </c>
      <c r="D172" s="31">
        <v>17</v>
      </c>
      <c r="E172" s="31">
        <v>0</v>
      </c>
      <c r="F172" s="31">
        <v>0</v>
      </c>
      <c r="G172" s="70">
        <f>SUM(H172:J172)</f>
        <v>17</v>
      </c>
      <c r="H172" s="193">
        <v>17</v>
      </c>
      <c r="I172" s="31">
        <v>0</v>
      </c>
      <c r="J172" s="31">
        <v>0</v>
      </c>
      <c r="K172" s="20">
        <f>G172/C172</f>
        <v>1</v>
      </c>
      <c r="L172" s="136"/>
    </row>
    <row r="173" spans="1:15" s="14" customFormat="1" ht="68.25" customHeight="1" x14ac:dyDescent="0.2">
      <c r="A173" s="24"/>
      <c r="B173" s="17" t="s">
        <v>215</v>
      </c>
      <c r="C173" s="70">
        <f>SUM(D173:F173)</f>
        <v>9</v>
      </c>
      <c r="D173" s="31">
        <v>9</v>
      </c>
      <c r="E173" s="31">
        <v>0</v>
      </c>
      <c r="F173" s="31">
        <v>0</v>
      </c>
      <c r="G173" s="70">
        <f>SUM(H173:J173)</f>
        <v>9</v>
      </c>
      <c r="H173" s="193">
        <v>9</v>
      </c>
      <c r="I173" s="31">
        <v>0</v>
      </c>
      <c r="J173" s="31">
        <v>0</v>
      </c>
      <c r="K173" s="20">
        <f>G173/C173</f>
        <v>1</v>
      </c>
      <c r="L173" s="136"/>
    </row>
    <row r="174" spans="1:15" s="2" customFormat="1" x14ac:dyDescent="0.25">
      <c r="A174" s="28" t="s">
        <v>216</v>
      </c>
      <c r="B174" s="208" t="s">
        <v>217</v>
      </c>
      <c r="C174" s="208"/>
      <c r="D174" s="208"/>
      <c r="E174" s="208"/>
      <c r="F174" s="208"/>
      <c r="G174" s="208"/>
      <c r="H174" s="208"/>
      <c r="I174" s="208"/>
      <c r="J174" s="208"/>
      <c r="K174" s="208"/>
      <c r="L174" s="208"/>
    </row>
    <row r="175" spans="1:15" s="14" customFormat="1" ht="66" customHeight="1" x14ac:dyDescent="0.2">
      <c r="A175" s="24"/>
      <c r="B175" s="17" t="s">
        <v>218</v>
      </c>
      <c r="C175" s="30">
        <f>D175+E175+F175</f>
        <v>37</v>
      </c>
      <c r="D175" s="31">
        <f>SUM(D178:D185)</f>
        <v>37</v>
      </c>
      <c r="E175" s="31">
        <f>SUM(E178:E185)</f>
        <v>0</v>
      </c>
      <c r="F175" s="31">
        <f>SUM(F178:F185)</f>
        <v>0</v>
      </c>
      <c r="G175" s="30">
        <f>H175+I175+J175</f>
        <v>37</v>
      </c>
      <c r="H175" s="186">
        <f>H178+H179+H181+H182+H183+H184+H185</f>
        <v>37</v>
      </c>
      <c r="I175" s="31">
        <f>SUM(I178:I185)</f>
        <v>0</v>
      </c>
      <c r="J175" s="31">
        <f>SUM(J178:J185)</f>
        <v>0</v>
      </c>
      <c r="K175" s="20">
        <f>G175/C175</f>
        <v>1</v>
      </c>
      <c r="L175" s="136"/>
    </row>
    <row r="176" spans="1:15" s="2" customFormat="1" ht="21.75" customHeight="1" x14ac:dyDescent="0.25">
      <c r="A176" s="23"/>
      <c r="B176" s="202" t="s">
        <v>219</v>
      </c>
      <c r="C176" s="202"/>
      <c r="D176" s="202"/>
      <c r="E176" s="202"/>
      <c r="F176" s="202"/>
      <c r="G176" s="202"/>
      <c r="H176" s="202"/>
      <c r="I176" s="202"/>
      <c r="J176" s="202"/>
      <c r="K176" s="202"/>
      <c r="L176" s="202"/>
    </row>
    <row r="177" spans="1:26" s="2" customFormat="1" ht="34.700000000000003" customHeight="1" x14ac:dyDescent="0.25">
      <c r="A177" s="23"/>
      <c r="B177" s="212" t="s">
        <v>220</v>
      </c>
      <c r="C177" s="212"/>
      <c r="D177" s="212"/>
      <c r="E177" s="212"/>
      <c r="F177" s="212"/>
      <c r="G177" s="212"/>
      <c r="H177" s="212"/>
      <c r="I177" s="212"/>
      <c r="J177" s="212"/>
      <c r="K177" s="212"/>
      <c r="L177" s="212"/>
    </row>
    <row r="178" spans="1:26" s="14" customFormat="1" ht="55.5" customHeight="1" x14ac:dyDescent="0.2">
      <c r="A178" s="24"/>
      <c r="B178" s="17" t="s">
        <v>221</v>
      </c>
      <c r="C178" s="30">
        <f>SUM(D178:F178)</f>
        <v>0</v>
      </c>
      <c r="D178" s="31">
        <v>0</v>
      </c>
      <c r="E178" s="31">
        <v>0</v>
      </c>
      <c r="F178" s="31">
        <v>0</v>
      </c>
      <c r="G178" s="30">
        <f>SUM(H178:J178)</f>
        <v>0</v>
      </c>
      <c r="H178" s="31">
        <v>0</v>
      </c>
      <c r="I178" s="31">
        <v>0</v>
      </c>
      <c r="J178" s="31">
        <v>0</v>
      </c>
      <c r="K178" s="72">
        <v>0</v>
      </c>
      <c r="L178" s="24"/>
    </row>
    <row r="179" spans="1:26" s="14" customFormat="1" ht="63" customHeight="1" x14ac:dyDescent="0.2">
      <c r="A179" s="24"/>
      <c r="B179" s="17" t="s">
        <v>222</v>
      </c>
      <c r="C179" s="30">
        <f>SUM(D179:F179)</f>
        <v>0</v>
      </c>
      <c r="D179" s="31">
        <v>0</v>
      </c>
      <c r="E179" s="31">
        <v>0</v>
      </c>
      <c r="F179" s="31">
        <v>0</v>
      </c>
      <c r="G179" s="30">
        <f>SUM(H179:J179)</f>
        <v>0</v>
      </c>
      <c r="H179" s="31">
        <v>0</v>
      </c>
      <c r="I179" s="31">
        <v>0</v>
      </c>
      <c r="J179" s="31">
        <v>0</v>
      </c>
      <c r="K179" s="72">
        <v>0</v>
      </c>
      <c r="L179" s="24"/>
    </row>
    <row r="180" spans="1:26" ht="15" customHeight="1" x14ac:dyDescent="0.25">
      <c r="A180" s="137"/>
      <c r="B180" s="214" t="s">
        <v>223</v>
      </c>
      <c r="C180" s="214"/>
      <c r="D180" s="214"/>
      <c r="E180" s="214"/>
      <c r="F180" s="214"/>
      <c r="G180" s="214"/>
      <c r="H180" s="214"/>
      <c r="I180" s="214"/>
      <c r="J180" s="214"/>
      <c r="K180" s="214"/>
      <c r="L180" s="214"/>
      <c r="M180" s="138"/>
      <c r="N180" s="138"/>
      <c r="O180" s="139"/>
      <c r="P180" s="140"/>
      <c r="Q180" s="140"/>
      <c r="R180" s="140"/>
      <c r="S180" s="140"/>
      <c r="T180" s="140"/>
      <c r="U180" s="140"/>
      <c r="V180" s="140"/>
      <c r="W180" s="140"/>
      <c r="X180" s="140"/>
      <c r="Y180" s="140"/>
      <c r="Z180" s="140"/>
    </row>
    <row r="181" spans="1:26" s="14" customFormat="1" ht="66.75" customHeight="1" x14ac:dyDescent="0.2">
      <c r="A181" s="24"/>
      <c r="B181" s="17" t="s">
        <v>224</v>
      </c>
      <c r="C181" s="30">
        <f>SUM(D181:F181)</f>
        <v>8</v>
      </c>
      <c r="D181" s="31">
        <v>8</v>
      </c>
      <c r="E181" s="31">
        <v>0</v>
      </c>
      <c r="F181" s="31">
        <v>0</v>
      </c>
      <c r="G181" s="30">
        <f>SUM(H181:J181)</f>
        <v>8</v>
      </c>
      <c r="H181" s="186">
        <v>8</v>
      </c>
      <c r="I181" s="31">
        <v>0</v>
      </c>
      <c r="J181" s="31">
        <v>0</v>
      </c>
      <c r="K181" s="72">
        <f>G181/C181</f>
        <v>1</v>
      </c>
      <c r="L181" s="24"/>
    </row>
    <row r="182" spans="1:26" s="14" customFormat="1" ht="67.5" customHeight="1" x14ac:dyDescent="0.2">
      <c r="A182" s="24"/>
      <c r="B182" s="17" t="s">
        <v>225</v>
      </c>
      <c r="C182" s="30">
        <f>SUM(D182:F182)</f>
        <v>5</v>
      </c>
      <c r="D182" s="31">
        <v>5</v>
      </c>
      <c r="E182" s="31">
        <v>0</v>
      </c>
      <c r="F182" s="31">
        <v>0</v>
      </c>
      <c r="G182" s="30">
        <f>SUM(H182:J182)</f>
        <v>5</v>
      </c>
      <c r="H182" s="186">
        <v>5</v>
      </c>
      <c r="I182" s="31">
        <v>0</v>
      </c>
      <c r="J182" s="31">
        <v>0</v>
      </c>
      <c r="K182" s="72">
        <f>G182/C182</f>
        <v>1</v>
      </c>
      <c r="L182" s="24"/>
    </row>
    <row r="183" spans="1:26" s="14" customFormat="1" ht="66.75" customHeight="1" x14ac:dyDescent="0.2">
      <c r="A183" s="24"/>
      <c r="B183" s="17" t="s">
        <v>226</v>
      </c>
      <c r="C183" s="30">
        <f>SUM(D183:F183)</f>
        <v>5</v>
      </c>
      <c r="D183" s="31">
        <v>5</v>
      </c>
      <c r="E183" s="31">
        <v>0</v>
      </c>
      <c r="F183" s="31">
        <v>0</v>
      </c>
      <c r="G183" s="30">
        <f>SUM(H183:J183)</f>
        <v>5</v>
      </c>
      <c r="H183" s="186">
        <v>5</v>
      </c>
      <c r="I183" s="31">
        <v>0</v>
      </c>
      <c r="J183" s="31">
        <v>0</v>
      </c>
      <c r="K183" s="72">
        <f>G183/C183</f>
        <v>1</v>
      </c>
      <c r="L183" s="24"/>
    </row>
    <row r="184" spans="1:26" s="14" customFormat="1" ht="54" customHeight="1" x14ac:dyDescent="0.2">
      <c r="A184" s="24"/>
      <c r="B184" s="17" t="s">
        <v>227</v>
      </c>
      <c r="C184" s="30">
        <f>SUM(D184:F184)</f>
        <v>2</v>
      </c>
      <c r="D184" s="31">
        <v>2</v>
      </c>
      <c r="E184" s="31">
        <v>0</v>
      </c>
      <c r="F184" s="31">
        <v>0</v>
      </c>
      <c r="G184" s="30">
        <f>SUM(H184:J184)</f>
        <v>2</v>
      </c>
      <c r="H184" s="186">
        <v>2</v>
      </c>
      <c r="I184" s="31">
        <v>0</v>
      </c>
      <c r="J184" s="31">
        <v>0</v>
      </c>
      <c r="K184" s="72">
        <f>G184/C184</f>
        <v>1</v>
      </c>
      <c r="L184" s="24"/>
    </row>
    <row r="185" spans="1:26" s="14" customFormat="1" ht="102.75" customHeight="1" x14ac:dyDescent="0.2">
      <c r="A185" s="24"/>
      <c r="B185" s="17" t="s">
        <v>228</v>
      </c>
      <c r="C185" s="30">
        <f>SUM(D185:F185)</f>
        <v>17</v>
      </c>
      <c r="D185" s="31">
        <v>17</v>
      </c>
      <c r="E185" s="31">
        <v>0</v>
      </c>
      <c r="F185" s="31">
        <v>0</v>
      </c>
      <c r="G185" s="30">
        <f>H185+I185+J185</f>
        <v>17</v>
      </c>
      <c r="H185" s="186">
        <v>17</v>
      </c>
      <c r="I185" s="31">
        <v>0</v>
      </c>
      <c r="J185" s="31">
        <v>0</v>
      </c>
      <c r="K185" s="72">
        <f>G185/C185</f>
        <v>1</v>
      </c>
      <c r="L185" s="24"/>
    </row>
    <row r="186" spans="1:26" s="2" customFormat="1" x14ac:dyDescent="0.25">
      <c r="A186" s="28" t="s">
        <v>229</v>
      </c>
      <c r="B186" s="208" t="s">
        <v>230</v>
      </c>
      <c r="C186" s="208"/>
      <c r="D186" s="208"/>
      <c r="E186" s="208"/>
      <c r="F186" s="208"/>
      <c r="G186" s="208"/>
      <c r="H186" s="208"/>
      <c r="I186" s="208"/>
      <c r="J186" s="208"/>
      <c r="K186" s="208"/>
      <c r="L186" s="208"/>
    </row>
    <row r="187" spans="1:26" s="14" customFormat="1" ht="59.25" customHeight="1" x14ac:dyDescent="0.2">
      <c r="A187" s="24"/>
      <c r="B187" s="17" t="s">
        <v>231</v>
      </c>
      <c r="C187" s="18">
        <f>D187+E187+F187</f>
        <v>31</v>
      </c>
      <c r="D187" s="19">
        <f>D190+D191+D193+D194+D195</f>
        <v>31</v>
      </c>
      <c r="E187" s="19">
        <v>0</v>
      </c>
      <c r="F187" s="19">
        <f>SUM(F190:F195)</f>
        <v>0</v>
      </c>
      <c r="G187" s="18">
        <f>H187+I187+J187</f>
        <v>31</v>
      </c>
      <c r="H187" s="149">
        <f>H190+H193+H194+H195</f>
        <v>31</v>
      </c>
      <c r="I187" s="19">
        <f>I190+I191+I193+I194+I195</f>
        <v>0</v>
      </c>
      <c r="J187" s="19">
        <f>J190+J191+J193+J194+J195</f>
        <v>0</v>
      </c>
      <c r="K187" s="20">
        <f>G187/C187</f>
        <v>1</v>
      </c>
      <c r="L187" s="141"/>
    </row>
    <row r="188" spans="1:26" s="2" customFormat="1" x14ac:dyDescent="0.25">
      <c r="A188" s="23"/>
      <c r="B188" s="202" t="s">
        <v>232</v>
      </c>
      <c r="C188" s="202"/>
      <c r="D188" s="202"/>
      <c r="E188" s="202"/>
      <c r="F188" s="202"/>
      <c r="G188" s="202"/>
      <c r="H188" s="202"/>
      <c r="I188" s="202"/>
      <c r="J188" s="202"/>
      <c r="K188" s="202"/>
      <c r="L188" s="202"/>
    </row>
    <row r="189" spans="1:26" s="2" customFormat="1" ht="36" customHeight="1" x14ac:dyDescent="0.25">
      <c r="A189" s="23"/>
      <c r="B189" s="212" t="s">
        <v>233</v>
      </c>
      <c r="C189" s="212"/>
      <c r="D189" s="212"/>
      <c r="E189" s="212"/>
      <c r="F189" s="212"/>
      <c r="G189" s="212"/>
      <c r="H189" s="212"/>
      <c r="I189" s="212"/>
      <c r="J189" s="212"/>
      <c r="K189" s="212"/>
      <c r="L189" s="212"/>
    </row>
    <row r="190" spans="1:26" s="14" customFormat="1" ht="49.5" customHeight="1" x14ac:dyDescent="0.2">
      <c r="A190" s="24"/>
      <c r="B190" s="17" t="s">
        <v>234</v>
      </c>
      <c r="C190" s="30">
        <f>SUM(D190:F190)</f>
        <v>0</v>
      </c>
      <c r="D190" s="31">
        <v>0</v>
      </c>
      <c r="E190" s="31">
        <v>0</v>
      </c>
      <c r="F190" s="31">
        <v>0</v>
      </c>
      <c r="G190" s="30">
        <f>SUM(H190:J190)</f>
        <v>0</v>
      </c>
      <c r="H190" s="31">
        <v>0</v>
      </c>
      <c r="I190" s="31">
        <v>0</v>
      </c>
      <c r="J190" s="31">
        <v>0</v>
      </c>
      <c r="K190" s="72">
        <v>0</v>
      </c>
      <c r="L190" s="24"/>
    </row>
    <row r="191" spans="1:26" s="14" customFormat="1" ht="57.75" customHeight="1" x14ac:dyDescent="0.2">
      <c r="A191" s="24"/>
      <c r="B191" s="17" t="s">
        <v>222</v>
      </c>
      <c r="C191" s="30">
        <f>SUM(D191:F191)</f>
        <v>0</v>
      </c>
      <c r="D191" s="31">
        <v>0</v>
      </c>
      <c r="E191" s="31">
        <v>0</v>
      </c>
      <c r="F191" s="31">
        <v>0</v>
      </c>
      <c r="G191" s="30">
        <f>SUM(H191:J191)</f>
        <v>0</v>
      </c>
      <c r="H191" s="31">
        <v>0</v>
      </c>
      <c r="I191" s="31">
        <v>0</v>
      </c>
      <c r="J191" s="31">
        <v>0</v>
      </c>
      <c r="K191" s="72">
        <v>0</v>
      </c>
      <c r="L191" s="24"/>
    </row>
    <row r="192" spans="1:26" s="14" customFormat="1" ht="27" customHeight="1" x14ac:dyDescent="0.2">
      <c r="A192" s="24"/>
      <c r="B192" s="209" t="s">
        <v>235</v>
      </c>
      <c r="C192" s="209"/>
      <c r="D192" s="209"/>
      <c r="E192" s="209"/>
      <c r="F192" s="209"/>
      <c r="G192" s="209"/>
      <c r="H192" s="209"/>
      <c r="I192" s="209"/>
      <c r="J192" s="209"/>
      <c r="K192" s="209"/>
      <c r="L192" s="209"/>
    </row>
    <row r="193" spans="1:17" s="14" customFormat="1" ht="72" customHeight="1" x14ac:dyDescent="0.2">
      <c r="A193" s="24"/>
      <c r="B193" s="17" t="s">
        <v>236</v>
      </c>
      <c r="C193" s="30">
        <f>SUM(D193:F193)</f>
        <v>12</v>
      </c>
      <c r="D193" s="31">
        <v>12</v>
      </c>
      <c r="E193" s="31">
        <v>0</v>
      </c>
      <c r="F193" s="31">
        <v>0</v>
      </c>
      <c r="G193" s="30">
        <f>SUM(H193:J193)</f>
        <v>12</v>
      </c>
      <c r="H193" s="186">
        <v>12</v>
      </c>
      <c r="I193" s="31">
        <v>0</v>
      </c>
      <c r="J193" s="31">
        <v>0</v>
      </c>
      <c r="K193" s="72">
        <f>G193/C193</f>
        <v>1</v>
      </c>
      <c r="L193" s="24"/>
    </row>
    <row r="194" spans="1:17" s="14" customFormat="1" ht="103.5" customHeight="1" x14ac:dyDescent="0.2">
      <c r="A194" s="24"/>
      <c r="B194" s="17" t="s">
        <v>237</v>
      </c>
      <c r="C194" s="30">
        <f>SUM(D194:F194)</f>
        <v>17</v>
      </c>
      <c r="D194" s="31">
        <v>17</v>
      </c>
      <c r="E194" s="31">
        <v>0</v>
      </c>
      <c r="F194" s="31">
        <v>0</v>
      </c>
      <c r="G194" s="30">
        <f>SUM(H194:J194)</f>
        <v>17</v>
      </c>
      <c r="H194" s="186">
        <v>17</v>
      </c>
      <c r="I194" s="31">
        <v>0</v>
      </c>
      <c r="J194" s="31">
        <v>0</v>
      </c>
      <c r="K194" s="72">
        <f>G194/C194</f>
        <v>1</v>
      </c>
      <c r="L194" s="24"/>
    </row>
    <row r="195" spans="1:17" s="14" customFormat="1" ht="72" customHeight="1" x14ac:dyDescent="0.2">
      <c r="A195" s="24"/>
      <c r="B195" s="17" t="s">
        <v>238</v>
      </c>
      <c r="C195" s="30">
        <f>SUM(D195:F195)</f>
        <v>2</v>
      </c>
      <c r="D195" s="31">
        <v>2</v>
      </c>
      <c r="E195" s="31">
        <v>0</v>
      </c>
      <c r="F195" s="31">
        <v>0</v>
      </c>
      <c r="G195" s="30">
        <f>SUM(H195:J195)</f>
        <v>2</v>
      </c>
      <c r="H195" s="186">
        <v>2</v>
      </c>
      <c r="I195" s="31">
        <v>0</v>
      </c>
      <c r="J195" s="31">
        <v>0</v>
      </c>
      <c r="K195" s="72">
        <f>G195/C195</f>
        <v>1</v>
      </c>
      <c r="L195" s="24"/>
    </row>
    <row r="196" spans="1:17" s="2" customFormat="1" x14ac:dyDescent="0.25">
      <c r="A196" s="28" t="s">
        <v>239</v>
      </c>
      <c r="B196" s="208" t="s">
        <v>240</v>
      </c>
      <c r="C196" s="208"/>
      <c r="D196" s="208"/>
      <c r="E196" s="208"/>
      <c r="F196" s="208"/>
      <c r="G196" s="208"/>
      <c r="H196" s="208"/>
      <c r="I196" s="208"/>
      <c r="J196" s="208"/>
      <c r="K196" s="208"/>
      <c r="L196" s="208"/>
    </row>
    <row r="197" spans="1:17" s="14" customFormat="1" ht="48" customHeight="1" x14ac:dyDescent="0.2">
      <c r="A197" s="24"/>
      <c r="B197" s="17" t="s">
        <v>241</v>
      </c>
      <c r="C197" s="18">
        <f>D197+E197+F197</f>
        <v>44.5</v>
      </c>
      <c r="D197" s="19">
        <f>D200+D201+D203+D204+D205</f>
        <v>44.5</v>
      </c>
      <c r="E197" s="19">
        <v>0</v>
      </c>
      <c r="F197" s="19">
        <f>SUM(F200:F205)</f>
        <v>0</v>
      </c>
      <c r="G197" s="18">
        <f>H197+I197+J197</f>
        <v>44.5</v>
      </c>
      <c r="H197" s="149">
        <f>H200+H201+H203+H204+H205</f>
        <v>44.5</v>
      </c>
      <c r="I197" s="19">
        <v>0</v>
      </c>
      <c r="J197" s="19">
        <f>SUM(J200:J205)</f>
        <v>0</v>
      </c>
      <c r="K197" s="20">
        <f>G197/C197</f>
        <v>1</v>
      </c>
      <c r="L197" s="141"/>
    </row>
    <row r="198" spans="1:17" s="2" customFormat="1" x14ac:dyDescent="0.25">
      <c r="A198" s="23"/>
      <c r="B198" s="202" t="s">
        <v>242</v>
      </c>
      <c r="C198" s="202"/>
      <c r="D198" s="202"/>
      <c r="E198" s="202"/>
      <c r="F198" s="202"/>
      <c r="G198" s="202"/>
      <c r="H198" s="202"/>
      <c r="I198" s="202"/>
      <c r="J198" s="202"/>
      <c r="K198" s="202"/>
      <c r="L198" s="202"/>
    </row>
    <row r="199" spans="1:17" s="2" customFormat="1" ht="36" customHeight="1" x14ac:dyDescent="0.25">
      <c r="A199" s="23"/>
      <c r="B199" s="212" t="s">
        <v>243</v>
      </c>
      <c r="C199" s="212"/>
      <c r="D199" s="212"/>
      <c r="E199" s="212"/>
      <c r="F199" s="212"/>
      <c r="G199" s="212"/>
      <c r="H199" s="212"/>
      <c r="I199" s="212"/>
      <c r="J199" s="212"/>
      <c r="K199" s="212"/>
      <c r="L199" s="212"/>
    </row>
    <row r="200" spans="1:17" s="14" customFormat="1" ht="81.75" customHeight="1" x14ac:dyDescent="0.2">
      <c r="A200" s="24"/>
      <c r="B200" s="17" t="s">
        <v>244</v>
      </c>
      <c r="C200" s="30">
        <f>SUM(D200:F200)</f>
        <v>0</v>
      </c>
      <c r="D200" s="31">
        <v>0</v>
      </c>
      <c r="E200" s="31">
        <v>0</v>
      </c>
      <c r="F200" s="31">
        <v>0</v>
      </c>
      <c r="G200" s="30">
        <f>SUM(H200:J200)</f>
        <v>0</v>
      </c>
      <c r="H200" s="31">
        <v>0</v>
      </c>
      <c r="I200" s="31">
        <v>0</v>
      </c>
      <c r="J200" s="31">
        <v>0</v>
      </c>
      <c r="K200" s="72">
        <v>0</v>
      </c>
      <c r="L200" s="24"/>
    </row>
    <row r="201" spans="1:17" s="14" customFormat="1" ht="57" customHeight="1" x14ac:dyDescent="0.2">
      <c r="A201" s="24"/>
      <c r="B201" s="17" t="s">
        <v>245</v>
      </c>
      <c r="C201" s="30">
        <f>SUM(D201:F201)</f>
        <v>0</v>
      </c>
      <c r="D201" s="31">
        <v>0</v>
      </c>
      <c r="E201" s="31">
        <v>0</v>
      </c>
      <c r="F201" s="31">
        <v>0</v>
      </c>
      <c r="G201" s="30">
        <f>SUM(H201:J201)</f>
        <v>0</v>
      </c>
      <c r="H201" s="31">
        <v>0</v>
      </c>
      <c r="I201" s="31">
        <v>0</v>
      </c>
      <c r="J201" s="31">
        <v>0</v>
      </c>
      <c r="K201" s="72">
        <v>0</v>
      </c>
      <c r="L201" s="24"/>
    </row>
    <row r="202" spans="1:17" s="14" customFormat="1" ht="23.25" customHeight="1" x14ac:dyDescent="0.2">
      <c r="A202" s="24"/>
      <c r="B202" s="209" t="s">
        <v>246</v>
      </c>
      <c r="C202" s="209"/>
      <c r="D202" s="209"/>
      <c r="E202" s="209"/>
      <c r="F202" s="209"/>
      <c r="G202" s="209"/>
      <c r="H202" s="209"/>
      <c r="I202" s="209"/>
      <c r="J202" s="209"/>
      <c r="K202" s="209"/>
      <c r="L202" s="209"/>
    </row>
    <row r="203" spans="1:17" s="14" customFormat="1" ht="71.25" customHeight="1" x14ac:dyDescent="0.2">
      <c r="A203" s="24"/>
      <c r="B203" s="17" t="s">
        <v>247</v>
      </c>
      <c r="C203" s="30">
        <f>SUM(D203:F203)</f>
        <v>20</v>
      </c>
      <c r="D203" s="31">
        <v>20</v>
      </c>
      <c r="E203" s="31">
        <v>0</v>
      </c>
      <c r="F203" s="31">
        <v>0</v>
      </c>
      <c r="G203" s="30">
        <f>SUM(H203:J203)</f>
        <v>20</v>
      </c>
      <c r="H203" s="186">
        <v>20</v>
      </c>
      <c r="I203" s="31">
        <v>0</v>
      </c>
      <c r="J203" s="31">
        <v>0</v>
      </c>
      <c r="K203" s="72">
        <f>G203/C203</f>
        <v>1</v>
      </c>
      <c r="L203" s="24"/>
    </row>
    <row r="204" spans="1:17" s="14" customFormat="1" ht="186" customHeight="1" x14ac:dyDescent="0.2">
      <c r="A204" s="24"/>
      <c r="B204" s="17" t="s">
        <v>248</v>
      </c>
      <c r="C204" s="30">
        <f>SUM(D204:F204)</f>
        <v>17</v>
      </c>
      <c r="D204" s="31">
        <v>17</v>
      </c>
      <c r="E204" s="31">
        <v>0</v>
      </c>
      <c r="F204" s="31">
        <v>0</v>
      </c>
      <c r="G204" s="30">
        <f>SUM(H204:J204)</f>
        <v>17</v>
      </c>
      <c r="H204" s="186">
        <v>17</v>
      </c>
      <c r="I204" s="31">
        <v>0</v>
      </c>
      <c r="J204" s="31">
        <v>0</v>
      </c>
      <c r="K204" s="72">
        <f>G204/C204</f>
        <v>1</v>
      </c>
      <c r="L204" s="24"/>
    </row>
    <row r="205" spans="1:17" s="14" customFormat="1" ht="66" customHeight="1" x14ac:dyDescent="0.2">
      <c r="A205" s="24"/>
      <c r="B205" s="17" t="s">
        <v>249</v>
      </c>
      <c r="C205" s="30">
        <f>SUM(D205:F205)</f>
        <v>7.5</v>
      </c>
      <c r="D205" s="31">
        <v>7.5</v>
      </c>
      <c r="E205" s="31">
        <v>0</v>
      </c>
      <c r="F205" s="31">
        <v>0</v>
      </c>
      <c r="G205" s="30">
        <f>SUM(H205:J205)</f>
        <v>7.5</v>
      </c>
      <c r="H205" s="186">
        <v>7.5</v>
      </c>
      <c r="I205" s="31">
        <v>0</v>
      </c>
      <c r="J205" s="31">
        <v>0</v>
      </c>
      <c r="K205" s="72">
        <f>G205/C205</f>
        <v>1</v>
      </c>
      <c r="L205" s="24"/>
    </row>
    <row r="206" spans="1:17" s="14" customFormat="1" ht="21.75" customHeight="1" x14ac:dyDescent="0.2">
      <c r="A206" s="24"/>
      <c r="B206" s="213" t="s">
        <v>250</v>
      </c>
      <c r="C206" s="213"/>
      <c r="D206" s="213"/>
      <c r="E206" s="213"/>
      <c r="F206" s="213"/>
      <c r="G206" s="213"/>
      <c r="H206" s="213"/>
      <c r="I206" s="213"/>
      <c r="J206" s="213"/>
      <c r="K206" s="213"/>
      <c r="L206" s="213"/>
      <c r="Q206" s="142"/>
    </row>
    <row r="207" spans="1:17" s="14" customFormat="1" ht="84.75" customHeight="1" x14ac:dyDescent="0.2">
      <c r="A207" s="24"/>
      <c r="B207" s="17" t="s">
        <v>251</v>
      </c>
      <c r="C207" s="18">
        <f>D207+E207+F207</f>
        <v>153</v>
      </c>
      <c r="D207" s="19">
        <f>D210+D211+D213+D214</f>
        <v>153</v>
      </c>
      <c r="E207" s="19">
        <v>0</v>
      </c>
      <c r="F207" s="19">
        <f>SUM(F210:F214)</f>
        <v>0</v>
      </c>
      <c r="G207" s="18">
        <f>H207+I207+J207</f>
        <v>141.98599999999999</v>
      </c>
      <c r="H207" s="149">
        <f>H210+H211+H213+H214</f>
        <v>141.98599999999999</v>
      </c>
      <c r="I207" s="19">
        <f>I210+I211+I213+I214</f>
        <v>0</v>
      </c>
      <c r="J207" s="19">
        <f>J210+J211+J213+J214</f>
        <v>0</v>
      </c>
      <c r="K207" s="20">
        <f>G207/C207</f>
        <v>0.92801307189542481</v>
      </c>
      <c r="L207" s="141"/>
    </row>
    <row r="208" spans="1:17" s="2" customFormat="1" x14ac:dyDescent="0.25">
      <c r="A208" s="23"/>
      <c r="B208" s="202" t="s">
        <v>252</v>
      </c>
      <c r="C208" s="202"/>
      <c r="D208" s="202"/>
      <c r="E208" s="202"/>
      <c r="F208" s="202"/>
      <c r="G208" s="202"/>
      <c r="H208" s="202"/>
      <c r="I208" s="202"/>
      <c r="J208" s="202"/>
      <c r="K208" s="202"/>
      <c r="L208" s="202"/>
    </row>
    <row r="209" spans="1:14" s="2" customFormat="1" ht="36" customHeight="1" x14ac:dyDescent="0.25">
      <c r="A209" s="23"/>
      <c r="B209" s="212" t="s">
        <v>253</v>
      </c>
      <c r="C209" s="212"/>
      <c r="D209" s="212"/>
      <c r="E209" s="212"/>
      <c r="F209" s="212"/>
      <c r="G209" s="212"/>
      <c r="H209" s="212"/>
      <c r="I209" s="212"/>
      <c r="J209" s="212"/>
      <c r="K209" s="212"/>
      <c r="L209" s="212"/>
    </row>
    <row r="210" spans="1:14" s="14" customFormat="1" ht="57" customHeight="1" x14ac:dyDescent="0.2">
      <c r="A210" s="24"/>
      <c r="B210" s="17" t="s">
        <v>254</v>
      </c>
      <c r="C210" s="30">
        <f>SUM(D210:F210)</f>
        <v>0</v>
      </c>
      <c r="D210" s="31">
        <v>0</v>
      </c>
      <c r="E210" s="31">
        <v>0</v>
      </c>
      <c r="F210" s="31">
        <v>0</v>
      </c>
      <c r="G210" s="30">
        <f>SUM(H210:J210)</f>
        <v>0</v>
      </c>
      <c r="H210" s="31">
        <v>0</v>
      </c>
      <c r="I210" s="31">
        <v>0</v>
      </c>
      <c r="J210" s="31">
        <v>0</v>
      </c>
      <c r="K210" s="72">
        <v>0</v>
      </c>
      <c r="L210" s="141"/>
    </row>
    <row r="211" spans="1:14" s="14" customFormat="1" ht="40.5" customHeight="1" x14ac:dyDescent="0.2">
      <c r="A211" s="24"/>
      <c r="B211" s="17" t="s">
        <v>255</v>
      </c>
      <c r="C211" s="30">
        <f>SUM(D211:F211)</f>
        <v>0</v>
      </c>
      <c r="D211" s="31">
        <v>0</v>
      </c>
      <c r="E211" s="31">
        <v>0</v>
      </c>
      <c r="F211" s="31">
        <v>0</v>
      </c>
      <c r="G211" s="30">
        <f>SUM(H211:J211)</f>
        <v>0</v>
      </c>
      <c r="H211" s="31">
        <v>0</v>
      </c>
      <c r="I211" s="31">
        <v>0</v>
      </c>
      <c r="J211" s="31">
        <v>0</v>
      </c>
      <c r="K211" s="72">
        <v>0</v>
      </c>
      <c r="L211" s="24"/>
    </row>
    <row r="212" spans="1:14" s="2" customFormat="1" ht="27.75" customHeight="1" x14ac:dyDescent="0.25">
      <c r="A212" s="23"/>
      <c r="B212" s="212" t="s">
        <v>256</v>
      </c>
      <c r="C212" s="212"/>
      <c r="D212" s="212"/>
      <c r="E212" s="212"/>
      <c r="F212" s="212"/>
      <c r="G212" s="212"/>
      <c r="H212" s="212"/>
      <c r="I212" s="212"/>
      <c r="J212" s="212"/>
      <c r="K212" s="212"/>
      <c r="L212" s="212"/>
    </row>
    <row r="213" spans="1:14" s="14" customFormat="1" ht="214.5" customHeight="1" x14ac:dyDescent="0.2">
      <c r="A213" s="24"/>
      <c r="B213" s="17" t="s">
        <v>257</v>
      </c>
      <c r="C213" s="30">
        <f>SUM(D213:F213)</f>
        <v>17</v>
      </c>
      <c r="D213" s="31">
        <v>17</v>
      </c>
      <c r="E213" s="31">
        <v>0</v>
      </c>
      <c r="F213" s="31">
        <v>0</v>
      </c>
      <c r="G213" s="30">
        <f>SUM(H213:J213)</f>
        <v>17</v>
      </c>
      <c r="H213" s="186">
        <v>17</v>
      </c>
      <c r="I213" s="31">
        <v>0</v>
      </c>
      <c r="J213" s="31">
        <v>0</v>
      </c>
      <c r="K213" s="72">
        <f>G213/C213</f>
        <v>1</v>
      </c>
      <c r="L213" s="24"/>
    </row>
    <row r="214" spans="1:14" s="14" customFormat="1" ht="103.5" customHeight="1" x14ac:dyDescent="0.2">
      <c r="A214" s="24"/>
      <c r="B214" s="17" t="s">
        <v>258</v>
      </c>
      <c r="C214" s="30">
        <f>SUM(D214:F214)</f>
        <v>136</v>
      </c>
      <c r="D214" s="31">
        <v>136</v>
      </c>
      <c r="E214" s="31">
        <v>0</v>
      </c>
      <c r="F214" s="31">
        <v>0</v>
      </c>
      <c r="G214" s="30">
        <f>SUM(H214:J214)</f>
        <v>124.986</v>
      </c>
      <c r="H214" s="195">
        <f>69.986+55</f>
        <v>124.986</v>
      </c>
      <c r="I214" s="31">
        <v>0</v>
      </c>
      <c r="J214" s="31">
        <v>0</v>
      </c>
      <c r="K214" s="72">
        <f>G214/C214</f>
        <v>0.91901470588235301</v>
      </c>
      <c r="L214" s="24"/>
    </row>
    <row r="215" spans="1:14" s="14" customFormat="1" ht="102" customHeight="1" x14ac:dyDescent="0.2">
      <c r="A215" s="8" t="s">
        <v>259</v>
      </c>
      <c r="B215" s="9" t="s">
        <v>260</v>
      </c>
      <c r="C215" s="10">
        <f t="shared" ref="C215:J215" si="4">SUM(C217+C229+C237+C245)</f>
        <v>38406.382999999994</v>
      </c>
      <c r="D215" s="10">
        <f t="shared" si="4"/>
        <v>38139.483</v>
      </c>
      <c r="E215" s="10">
        <f t="shared" si="4"/>
        <v>191.4</v>
      </c>
      <c r="F215" s="10">
        <f t="shared" si="4"/>
        <v>75.5</v>
      </c>
      <c r="G215" s="10">
        <f t="shared" si="4"/>
        <v>30295.480000000003</v>
      </c>
      <c r="H215" s="10">
        <f t="shared" si="4"/>
        <v>30028.58</v>
      </c>
      <c r="I215" s="10">
        <f t="shared" si="4"/>
        <v>191.4</v>
      </c>
      <c r="J215" s="10">
        <f t="shared" si="4"/>
        <v>75.5</v>
      </c>
      <c r="K215" s="143">
        <f>G215/C215</f>
        <v>0.78881367193573027</v>
      </c>
      <c r="L215" s="144"/>
    </row>
    <row r="216" spans="1:14" s="2" customFormat="1" x14ac:dyDescent="0.25">
      <c r="A216" s="28" t="s">
        <v>261</v>
      </c>
      <c r="B216" s="208" t="s">
        <v>262</v>
      </c>
      <c r="C216" s="208"/>
      <c r="D216" s="208"/>
      <c r="E216" s="208"/>
      <c r="F216" s="208"/>
      <c r="G216" s="208"/>
      <c r="H216" s="208"/>
      <c r="I216" s="208"/>
      <c r="J216" s="208"/>
      <c r="K216" s="208"/>
      <c r="L216" s="208"/>
    </row>
    <row r="217" spans="1:14" s="14" customFormat="1" ht="47.25" x14ac:dyDescent="0.2">
      <c r="A217" s="145"/>
      <c r="B217" s="146" t="s">
        <v>263</v>
      </c>
      <c r="C217" s="147">
        <f>C220+C222+C223+C224+C227+C225</f>
        <v>34936.03</v>
      </c>
      <c r="D217" s="147">
        <f>D220+D222+D224+D227+D225</f>
        <v>34860.53</v>
      </c>
      <c r="E217" s="147">
        <f>E220+E222+E224+E227+E225</f>
        <v>0</v>
      </c>
      <c r="F217" s="147">
        <f>SUM(F220+F222+F224+F227+F225)</f>
        <v>75.5</v>
      </c>
      <c r="G217" s="147">
        <f>G220+G222+G223+G224+G227+G225</f>
        <v>26876.326000000001</v>
      </c>
      <c r="H217" s="147">
        <f>H220+H222+H224+H227+H225</f>
        <v>26800.826000000001</v>
      </c>
      <c r="I217" s="147">
        <f>I220+I222+I224+I227+I225</f>
        <v>0</v>
      </c>
      <c r="J217" s="147">
        <f>SUM(J225+J220+J222+J224+J227)</f>
        <v>75.5</v>
      </c>
      <c r="K217" s="148">
        <f>G217/C217</f>
        <v>0.76930109116576784</v>
      </c>
      <c r="L217" s="145"/>
    </row>
    <row r="218" spans="1:14" s="2" customFormat="1" x14ac:dyDescent="0.25">
      <c r="A218" s="23"/>
      <c r="B218" s="202" t="s">
        <v>264</v>
      </c>
      <c r="C218" s="202"/>
      <c r="D218" s="202"/>
      <c r="E218" s="202"/>
      <c r="F218" s="202"/>
      <c r="G218" s="202"/>
      <c r="H218" s="202"/>
      <c r="I218" s="202"/>
      <c r="J218" s="202"/>
      <c r="K218" s="202"/>
      <c r="L218" s="202"/>
    </row>
    <row r="219" spans="1:14" s="2" customFormat="1" x14ac:dyDescent="0.25">
      <c r="A219" s="23"/>
      <c r="B219" s="202" t="s">
        <v>265</v>
      </c>
      <c r="C219" s="202"/>
      <c r="D219" s="202"/>
      <c r="E219" s="202"/>
      <c r="F219" s="202"/>
      <c r="G219" s="202"/>
      <c r="H219" s="202"/>
      <c r="I219" s="202"/>
      <c r="J219" s="202"/>
      <c r="K219" s="202"/>
      <c r="L219" s="202"/>
    </row>
    <row r="220" spans="1:14" s="14" customFormat="1" ht="47.25" x14ac:dyDescent="0.2">
      <c r="A220" s="24"/>
      <c r="B220" s="17" t="s">
        <v>266</v>
      </c>
      <c r="C220" s="18">
        <f>SUM(D220:F220)</f>
        <v>1658.4</v>
      </c>
      <c r="D220" s="19">
        <v>1658.4</v>
      </c>
      <c r="E220" s="19">
        <v>0</v>
      </c>
      <c r="F220" s="19">
        <v>0</v>
      </c>
      <c r="G220" s="18">
        <f>SUM(H220:J220)</f>
        <v>1658.4</v>
      </c>
      <c r="H220" s="149">
        <v>1658.4</v>
      </c>
      <c r="I220" s="19">
        <v>0</v>
      </c>
      <c r="J220" s="19">
        <v>0</v>
      </c>
      <c r="K220" s="72">
        <f>G220/C220</f>
        <v>1</v>
      </c>
      <c r="L220" s="24"/>
    </row>
    <row r="221" spans="1:14" s="2" customFormat="1" x14ac:dyDescent="0.25">
      <c r="A221" s="23"/>
      <c r="B221" s="202" t="s">
        <v>267</v>
      </c>
      <c r="C221" s="202"/>
      <c r="D221" s="202"/>
      <c r="E221" s="202"/>
      <c r="F221" s="202"/>
      <c r="G221" s="202"/>
      <c r="H221" s="202"/>
      <c r="I221" s="202"/>
      <c r="J221" s="202"/>
      <c r="K221" s="202"/>
      <c r="L221" s="202"/>
    </row>
    <row r="222" spans="1:14" s="14" customFormat="1" ht="37.5" customHeight="1" x14ac:dyDescent="0.2">
      <c r="A222" s="24"/>
      <c r="B222" s="17" t="s">
        <v>268</v>
      </c>
      <c r="C222" s="18">
        <f>SUM(D222:F222)</f>
        <v>2495.9899999999998</v>
      </c>
      <c r="D222" s="19">
        <v>2495.9899999999998</v>
      </c>
      <c r="E222" s="19">
        <v>0</v>
      </c>
      <c r="F222" s="19">
        <v>0</v>
      </c>
      <c r="G222" s="18">
        <f>SUM(H222:J222)</f>
        <v>2225.4</v>
      </c>
      <c r="H222" s="187">
        <v>2225.4</v>
      </c>
      <c r="I222" s="19">
        <v>0</v>
      </c>
      <c r="J222" s="19">
        <v>0</v>
      </c>
      <c r="K222" s="72">
        <f>G222/C222</f>
        <v>0.89159011053730197</v>
      </c>
      <c r="L222" s="24"/>
      <c r="N222" s="40"/>
    </row>
    <row r="223" spans="1:14" s="14" customFormat="1" ht="128.65" customHeight="1" x14ac:dyDescent="0.2">
      <c r="A223" s="24"/>
      <c r="B223" s="17" t="s">
        <v>269</v>
      </c>
      <c r="C223" s="18">
        <f>D223+E223+F223</f>
        <v>0</v>
      </c>
      <c r="D223" s="19">
        <v>0</v>
      </c>
      <c r="E223" s="19">
        <v>0</v>
      </c>
      <c r="F223" s="19">
        <v>0</v>
      </c>
      <c r="G223" s="18">
        <f>H223+I223+J223</f>
        <v>0</v>
      </c>
      <c r="H223" s="19">
        <v>0</v>
      </c>
      <c r="I223" s="19">
        <v>0</v>
      </c>
      <c r="J223" s="19">
        <v>0</v>
      </c>
      <c r="K223" s="72">
        <v>0</v>
      </c>
      <c r="L223" s="24"/>
    </row>
    <row r="224" spans="1:14" s="14" customFormat="1" ht="82.5" customHeight="1" x14ac:dyDescent="0.2">
      <c r="A224" s="24"/>
      <c r="B224" s="17" t="s">
        <v>270</v>
      </c>
      <c r="C224" s="18">
        <f>SUM(D224:F224)</f>
        <v>887.73</v>
      </c>
      <c r="D224" s="19">
        <v>887.73</v>
      </c>
      <c r="E224" s="19">
        <v>0</v>
      </c>
      <c r="F224" s="19">
        <v>0</v>
      </c>
      <c r="G224" s="18">
        <f>SUM(H224:J224)</f>
        <v>887.726</v>
      </c>
      <c r="H224" s="149">
        <v>887.726</v>
      </c>
      <c r="I224" s="19">
        <v>0</v>
      </c>
      <c r="J224" s="19">
        <v>0</v>
      </c>
      <c r="K224" s="72">
        <f>G224/C224</f>
        <v>0.99999549412546607</v>
      </c>
      <c r="L224" s="24"/>
    </row>
    <row r="225" spans="1:14" s="14" customFormat="1" ht="34.5" customHeight="1" x14ac:dyDescent="0.2">
      <c r="A225" s="24"/>
      <c r="B225" s="17" t="s">
        <v>271</v>
      </c>
      <c r="C225" s="18">
        <f>SUM(D225:F225)</f>
        <v>151</v>
      </c>
      <c r="D225" s="19">
        <v>75.5</v>
      </c>
      <c r="E225" s="19">
        <v>0</v>
      </c>
      <c r="F225" s="19">
        <v>75.5</v>
      </c>
      <c r="G225" s="18">
        <f>SUM(H225:J225)</f>
        <v>151</v>
      </c>
      <c r="H225" s="149">
        <v>75.5</v>
      </c>
      <c r="I225" s="19">
        <v>0</v>
      </c>
      <c r="J225" s="19">
        <v>75.5</v>
      </c>
      <c r="K225" s="72">
        <f>G225/C225</f>
        <v>1</v>
      </c>
      <c r="L225" s="24"/>
    </row>
    <row r="226" spans="1:14" s="2" customFormat="1" x14ac:dyDescent="0.25">
      <c r="A226" s="23"/>
      <c r="B226" s="202" t="s">
        <v>272</v>
      </c>
      <c r="C226" s="202"/>
      <c r="D226" s="202"/>
      <c r="E226" s="202"/>
      <c r="F226" s="202"/>
      <c r="G226" s="202"/>
      <c r="H226" s="202"/>
      <c r="I226" s="202"/>
      <c r="J226" s="202"/>
      <c r="K226" s="202"/>
      <c r="L226" s="202"/>
    </row>
    <row r="227" spans="1:14" s="14" customFormat="1" ht="31.5" x14ac:dyDescent="0.2">
      <c r="A227" s="24"/>
      <c r="B227" s="17" t="s">
        <v>273</v>
      </c>
      <c r="C227" s="18">
        <f>SUM(D227+E227+F227)</f>
        <v>29742.91</v>
      </c>
      <c r="D227" s="19">
        <v>29742.91</v>
      </c>
      <c r="E227" s="19">
        <v>0</v>
      </c>
      <c r="F227" s="19">
        <v>0</v>
      </c>
      <c r="G227" s="18">
        <f>SUM(H227:J227)</f>
        <v>21953.8</v>
      </c>
      <c r="H227" s="187">
        <v>21953.8</v>
      </c>
      <c r="I227" s="19">
        <v>0</v>
      </c>
      <c r="J227" s="19">
        <v>0</v>
      </c>
      <c r="K227" s="72">
        <f>G227/C227</f>
        <v>0.73811876511074404</v>
      </c>
      <c r="L227" s="24"/>
    </row>
    <row r="228" spans="1:14" s="2" customFormat="1" x14ac:dyDescent="0.25">
      <c r="A228" s="28" t="s">
        <v>274</v>
      </c>
      <c r="B228" s="208" t="s">
        <v>275</v>
      </c>
      <c r="C228" s="208"/>
      <c r="D228" s="208"/>
      <c r="E228" s="208"/>
      <c r="F228" s="208"/>
      <c r="G228" s="208"/>
      <c r="H228" s="208"/>
      <c r="I228" s="208"/>
      <c r="J228" s="208"/>
      <c r="K228" s="208"/>
      <c r="L228" s="208"/>
    </row>
    <row r="229" spans="1:14" s="14" customFormat="1" ht="31.5" x14ac:dyDescent="0.2">
      <c r="A229" s="145"/>
      <c r="B229" s="146" t="s">
        <v>276</v>
      </c>
      <c r="C229" s="147">
        <f>SUM(D229:F229)</f>
        <v>1545.45</v>
      </c>
      <c r="D229" s="147">
        <f>D232+D234+D235</f>
        <v>1423.05</v>
      </c>
      <c r="E229" s="147">
        <f>E232+E234+E235</f>
        <v>122.4</v>
      </c>
      <c r="F229" s="147">
        <f>SUM(F232+F234)</f>
        <v>0</v>
      </c>
      <c r="G229" s="147">
        <f>SUM(H229:J229)</f>
        <v>1545.45</v>
      </c>
      <c r="H229" s="147">
        <f>H232+H234+H235</f>
        <v>1423.05</v>
      </c>
      <c r="I229" s="147">
        <f>I232+I234+I235</f>
        <v>122.4</v>
      </c>
      <c r="J229" s="147">
        <f>SUM(J232+J234)</f>
        <v>0</v>
      </c>
      <c r="K229" s="148">
        <f>G229/C229</f>
        <v>1</v>
      </c>
      <c r="L229" s="145"/>
    </row>
    <row r="230" spans="1:14" s="2" customFormat="1" x14ac:dyDescent="0.25">
      <c r="A230" s="23"/>
      <c r="B230" s="202" t="s">
        <v>277</v>
      </c>
      <c r="C230" s="202"/>
      <c r="D230" s="202"/>
      <c r="E230" s="202"/>
      <c r="F230" s="202"/>
      <c r="G230" s="202"/>
      <c r="H230" s="202"/>
      <c r="I230" s="202"/>
      <c r="J230" s="202"/>
      <c r="K230" s="202"/>
      <c r="L230" s="202"/>
    </row>
    <row r="231" spans="1:14" s="2" customFormat="1" x14ac:dyDescent="0.25">
      <c r="A231" s="23"/>
      <c r="B231" s="202" t="s">
        <v>278</v>
      </c>
      <c r="C231" s="202"/>
      <c r="D231" s="202"/>
      <c r="E231" s="202"/>
      <c r="F231" s="202"/>
      <c r="G231" s="202"/>
      <c r="H231" s="202"/>
      <c r="I231" s="202"/>
      <c r="J231" s="202"/>
      <c r="K231" s="202"/>
      <c r="L231" s="202"/>
    </row>
    <row r="232" spans="1:14" s="14" customFormat="1" ht="47.25" x14ac:dyDescent="0.2">
      <c r="A232" s="24"/>
      <c r="B232" s="17" t="s">
        <v>279</v>
      </c>
      <c r="C232" s="30">
        <f>SUM(D232:F232)</f>
        <v>1370.55</v>
      </c>
      <c r="D232" s="31">
        <v>1370.55</v>
      </c>
      <c r="E232" s="31">
        <v>0</v>
      </c>
      <c r="F232" s="31">
        <v>0</v>
      </c>
      <c r="G232" s="30">
        <f>SUM(H232:J232)</f>
        <v>1370.55</v>
      </c>
      <c r="H232" s="186">
        <v>1370.55</v>
      </c>
      <c r="I232" s="31">
        <v>0</v>
      </c>
      <c r="J232" s="31">
        <v>0</v>
      </c>
      <c r="K232" s="72">
        <f>G232/C232</f>
        <v>1</v>
      </c>
      <c r="L232" s="24"/>
    </row>
    <row r="233" spans="1:14" s="2" customFormat="1" x14ac:dyDescent="0.25">
      <c r="A233" s="23"/>
      <c r="B233" s="202" t="s">
        <v>280</v>
      </c>
      <c r="C233" s="202"/>
      <c r="D233" s="202"/>
      <c r="E233" s="202"/>
      <c r="F233" s="202"/>
      <c r="G233" s="202"/>
      <c r="H233" s="202"/>
      <c r="I233" s="202"/>
      <c r="J233" s="202"/>
      <c r="K233" s="202"/>
      <c r="L233" s="24"/>
    </row>
    <row r="234" spans="1:14" s="14" customFormat="1" ht="78.75" x14ac:dyDescent="0.2">
      <c r="A234" s="24"/>
      <c r="B234" s="17" t="s">
        <v>281</v>
      </c>
      <c r="C234" s="30">
        <f>SUM(D234:F234)</f>
        <v>0</v>
      </c>
      <c r="D234" s="31">
        <v>0</v>
      </c>
      <c r="E234" s="31">
        <v>0</v>
      </c>
      <c r="F234" s="31">
        <v>0</v>
      </c>
      <c r="G234" s="30">
        <f>SUM(H234:J234)</f>
        <v>0</v>
      </c>
      <c r="H234" s="31">
        <v>0</v>
      </c>
      <c r="I234" s="31">
        <v>0</v>
      </c>
      <c r="J234" s="31">
        <v>0</v>
      </c>
      <c r="K234" s="72">
        <v>0</v>
      </c>
      <c r="L234" s="24"/>
      <c r="N234" s="40" t="s">
        <v>387</v>
      </c>
    </row>
    <row r="235" spans="1:14" s="14" customFormat="1" ht="78.75" x14ac:dyDescent="0.2">
      <c r="A235" s="24"/>
      <c r="B235" s="17" t="s">
        <v>282</v>
      </c>
      <c r="C235" s="30">
        <f>SUM(D235:F235)</f>
        <v>174.9</v>
      </c>
      <c r="D235" s="31">
        <v>52.5</v>
      </c>
      <c r="E235" s="31">
        <v>122.4</v>
      </c>
      <c r="F235" s="31">
        <v>0</v>
      </c>
      <c r="G235" s="30">
        <f>SUM(H235:J235)</f>
        <v>174.9</v>
      </c>
      <c r="H235" s="186">
        <v>52.5</v>
      </c>
      <c r="I235" s="31">
        <v>122.4</v>
      </c>
      <c r="J235" s="31">
        <v>0</v>
      </c>
      <c r="K235" s="72">
        <f>G235/C235</f>
        <v>1</v>
      </c>
      <c r="L235" s="24"/>
    </row>
    <row r="236" spans="1:14" s="2" customFormat="1" ht="15.75" customHeight="1" x14ac:dyDescent="0.25">
      <c r="A236" s="28" t="s">
        <v>283</v>
      </c>
      <c r="B236" s="203" t="s">
        <v>284</v>
      </c>
      <c r="C236" s="203"/>
      <c r="D236" s="203"/>
      <c r="E236" s="203"/>
      <c r="F236" s="203"/>
      <c r="G236" s="203"/>
      <c r="H236" s="203"/>
      <c r="I236" s="203"/>
      <c r="J236" s="203"/>
      <c r="K236" s="203"/>
      <c r="L236" s="203"/>
    </row>
    <row r="237" spans="1:14" s="14" customFormat="1" ht="47.25" x14ac:dyDescent="0.2">
      <c r="A237" s="145"/>
      <c r="B237" s="146" t="s">
        <v>285</v>
      </c>
      <c r="C237" s="150">
        <f>SUM(D237)</f>
        <v>1071.4000000000001</v>
      </c>
      <c r="D237" s="150">
        <f>D240+D241+D243</f>
        <v>1071.4000000000001</v>
      </c>
      <c r="E237" s="150">
        <f>SUM(E240+E241+E243)</f>
        <v>0</v>
      </c>
      <c r="F237" s="150">
        <f>SUM(F240+F241+F243)</f>
        <v>0</v>
      </c>
      <c r="G237" s="150">
        <f>SUM(H237)</f>
        <v>1035.5909999999999</v>
      </c>
      <c r="H237" s="150">
        <f>H240+H241+H243</f>
        <v>1035.5909999999999</v>
      </c>
      <c r="I237" s="150">
        <f>SUM(I240+I241+I243)</f>
        <v>0</v>
      </c>
      <c r="J237" s="150">
        <f>SUM(J240+J241+J243)</f>
        <v>0</v>
      </c>
      <c r="K237" s="148">
        <f>G237/C237</f>
        <v>0.9665773753966771</v>
      </c>
      <c r="L237" s="145"/>
    </row>
    <row r="238" spans="1:14" s="2" customFormat="1" ht="30.2" customHeight="1" x14ac:dyDescent="0.25">
      <c r="A238" s="23"/>
      <c r="B238" s="212" t="s">
        <v>286</v>
      </c>
      <c r="C238" s="212"/>
      <c r="D238" s="212"/>
      <c r="E238" s="212"/>
      <c r="F238" s="212"/>
      <c r="G238" s="212"/>
      <c r="H238" s="212"/>
      <c r="I238" s="212"/>
      <c r="J238" s="212"/>
      <c r="K238" s="212"/>
      <c r="L238" s="212"/>
    </row>
    <row r="239" spans="1:14" s="2" customFormat="1" x14ac:dyDescent="0.25">
      <c r="A239" s="23"/>
      <c r="B239" s="202" t="s">
        <v>287</v>
      </c>
      <c r="C239" s="202"/>
      <c r="D239" s="202"/>
      <c r="E239" s="202"/>
      <c r="F239" s="202"/>
      <c r="G239" s="202"/>
      <c r="H239" s="202"/>
      <c r="I239" s="202"/>
      <c r="J239" s="202"/>
      <c r="K239" s="202"/>
      <c r="L239" s="202"/>
    </row>
    <row r="240" spans="1:14" s="14" customFormat="1" ht="81" customHeight="1" x14ac:dyDescent="0.2">
      <c r="A240" s="24"/>
      <c r="B240" s="17" t="s">
        <v>288</v>
      </c>
      <c r="C240" s="151">
        <f>SUM(D240:F240)</f>
        <v>789.93399999999997</v>
      </c>
      <c r="D240" s="152">
        <v>789.93399999999997</v>
      </c>
      <c r="E240" s="31">
        <v>0</v>
      </c>
      <c r="F240" s="31">
        <v>0</v>
      </c>
      <c r="G240" s="30">
        <f>SUM(H240:J240)</f>
        <v>789.93399999999997</v>
      </c>
      <c r="H240" s="189">
        <v>789.93399999999997</v>
      </c>
      <c r="I240" s="31">
        <v>0</v>
      </c>
      <c r="J240" s="31">
        <v>0</v>
      </c>
      <c r="K240" s="72">
        <f>G240/C240</f>
        <v>1</v>
      </c>
      <c r="L240" s="24"/>
    </row>
    <row r="241" spans="1:16" s="14" customFormat="1" ht="72" customHeight="1" x14ac:dyDescent="0.2">
      <c r="A241" s="24"/>
      <c r="B241" s="17" t="s">
        <v>289</v>
      </c>
      <c r="C241" s="30">
        <f>SUM(D241:F241)</f>
        <v>199.33600000000001</v>
      </c>
      <c r="D241" s="152">
        <v>199.33600000000001</v>
      </c>
      <c r="E241" s="31">
        <v>0</v>
      </c>
      <c r="F241" s="31">
        <v>0</v>
      </c>
      <c r="G241" s="30">
        <f>SUM(H241:J241)</f>
        <v>191.20599999999999</v>
      </c>
      <c r="H241" s="31">
        <v>191.20599999999999</v>
      </c>
      <c r="I241" s="31">
        <v>0</v>
      </c>
      <c r="J241" s="31">
        <v>0</v>
      </c>
      <c r="K241" s="72">
        <f>G241/C241</f>
        <v>0.95921459244692364</v>
      </c>
      <c r="L241" s="24"/>
    </row>
    <row r="242" spans="1:16" s="2" customFormat="1" x14ac:dyDescent="0.25">
      <c r="A242" s="23"/>
      <c r="B242" s="202" t="s">
        <v>290</v>
      </c>
      <c r="C242" s="202"/>
      <c r="D242" s="202"/>
      <c r="E242" s="202"/>
      <c r="F242" s="202"/>
      <c r="G242" s="202"/>
      <c r="H242" s="202"/>
      <c r="I242" s="202"/>
      <c r="J242" s="202"/>
      <c r="K242" s="202"/>
      <c r="L242" s="24"/>
    </row>
    <row r="243" spans="1:16" s="14" customFormat="1" ht="63" customHeight="1" x14ac:dyDescent="0.2">
      <c r="A243" s="24"/>
      <c r="B243" s="17" t="s">
        <v>291</v>
      </c>
      <c r="C243" s="30">
        <f>SUM(D243:F244)</f>
        <v>82.13</v>
      </c>
      <c r="D243" s="152">
        <v>82.13</v>
      </c>
      <c r="E243" s="31">
        <v>0</v>
      </c>
      <c r="F243" s="31">
        <v>0</v>
      </c>
      <c r="G243" s="30">
        <f>SUM(H243:J243)</f>
        <v>54.451000000000001</v>
      </c>
      <c r="H243" s="195">
        <f>31.581+22.87</f>
        <v>54.451000000000001</v>
      </c>
      <c r="I243" s="31">
        <v>0</v>
      </c>
      <c r="J243" s="31">
        <v>0</v>
      </c>
      <c r="K243" s="72">
        <f>G243/C243</f>
        <v>0.66298551077559975</v>
      </c>
      <c r="L243" s="24"/>
    </row>
    <row r="244" spans="1:16" s="2" customFormat="1" x14ac:dyDescent="0.25">
      <c r="A244" s="28" t="s">
        <v>292</v>
      </c>
      <c r="B244" s="208" t="s">
        <v>293</v>
      </c>
      <c r="C244" s="208"/>
      <c r="D244" s="208"/>
      <c r="E244" s="208"/>
      <c r="F244" s="208"/>
      <c r="G244" s="208"/>
      <c r="H244" s="208"/>
      <c r="I244" s="208"/>
      <c r="J244" s="208"/>
      <c r="K244" s="208"/>
      <c r="L244" s="208"/>
    </row>
    <row r="245" spans="1:16" s="14" customFormat="1" ht="63" x14ac:dyDescent="0.2">
      <c r="A245" s="145"/>
      <c r="B245" s="146" t="s">
        <v>294</v>
      </c>
      <c r="C245" s="153">
        <f>D245+E245+F245</f>
        <v>853.50300000000004</v>
      </c>
      <c r="D245" s="154">
        <f>D248+D250</f>
        <v>784.50300000000004</v>
      </c>
      <c r="E245" s="153">
        <f>SUM(E248+E250)</f>
        <v>69</v>
      </c>
      <c r="F245" s="153">
        <f>SUM(F248+F250)</f>
        <v>0</v>
      </c>
      <c r="G245" s="153">
        <f>H245+I245+J245</f>
        <v>838.11299999999994</v>
      </c>
      <c r="H245" s="153">
        <f>H248+H250</f>
        <v>769.11299999999994</v>
      </c>
      <c r="I245" s="153">
        <f>SUM(I248+I250)</f>
        <v>69</v>
      </c>
      <c r="J245" s="153">
        <f>SUM(J248+J250)</f>
        <v>0</v>
      </c>
      <c r="K245" s="148">
        <f>G245/C245</f>
        <v>0.98196842893346581</v>
      </c>
      <c r="L245" s="145"/>
      <c r="P245" s="155"/>
    </row>
    <row r="246" spans="1:16" s="2" customFormat="1" x14ac:dyDescent="0.25">
      <c r="A246" s="23"/>
      <c r="B246" s="202" t="s">
        <v>295</v>
      </c>
      <c r="C246" s="202"/>
      <c r="D246" s="202"/>
      <c r="E246" s="202"/>
      <c r="F246" s="202"/>
      <c r="G246" s="202"/>
      <c r="H246" s="202"/>
      <c r="I246" s="202"/>
      <c r="J246" s="202"/>
      <c r="K246" s="202"/>
      <c r="L246" s="24"/>
    </row>
    <row r="247" spans="1:16" s="2" customFormat="1" x14ac:dyDescent="0.25">
      <c r="A247" s="23"/>
      <c r="B247" s="202" t="s">
        <v>296</v>
      </c>
      <c r="C247" s="202"/>
      <c r="D247" s="202"/>
      <c r="E247" s="202"/>
      <c r="F247" s="202"/>
      <c r="G247" s="202"/>
      <c r="H247" s="202"/>
      <c r="I247" s="202"/>
      <c r="J247" s="202"/>
      <c r="K247" s="202"/>
      <c r="L247" s="24"/>
    </row>
    <row r="248" spans="1:16" s="14" customFormat="1" ht="47.25" x14ac:dyDescent="0.2">
      <c r="A248" s="24"/>
      <c r="B248" s="17" t="s">
        <v>297</v>
      </c>
      <c r="C248" s="30">
        <f>SUM(D248:F248)</f>
        <v>593.35500000000002</v>
      </c>
      <c r="D248" s="31">
        <v>524.35500000000002</v>
      </c>
      <c r="E248" s="31">
        <v>69</v>
      </c>
      <c r="F248" s="31">
        <v>0</v>
      </c>
      <c r="G248" s="30">
        <f>SUM(H248:J248)</f>
        <v>577.96499999999992</v>
      </c>
      <c r="H248" s="186">
        <f>92.155+645.698+31.26-260.148</f>
        <v>508.96499999999992</v>
      </c>
      <c r="I248" s="186">
        <v>69</v>
      </c>
      <c r="J248" s="31">
        <v>0</v>
      </c>
      <c r="K248" s="72">
        <f>G248/C248</f>
        <v>0.97406274489976474</v>
      </c>
      <c r="L248" s="141"/>
    </row>
    <row r="249" spans="1:16" s="2" customFormat="1" ht="48.75" customHeight="1" x14ac:dyDescent="0.25">
      <c r="A249" s="23"/>
      <c r="B249" s="212" t="s">
        <v>298</v>
      </c>
      <c r="C249" s="212"/>
      <c r="D249" s="212"/>
      <c r="E249" s="212"/>
      <c r="F249" s="212"/>
      <c r="G249" s="212"/>
      <c r="H249" s="212"/>
      <c r="I249" s="212"/>
      <c r="J249" s="212"/>
      <c r="K249" s="212"/>
      <c r="L249" s="24"/>
    </row>
    <row r="250" spans="1:16" s="2" customFormat="1" ht="68.25" customHeight="1" x14ac:dyDescent="0.25">
      <c r="A250" s="23"/>
      <c r="B250" s="59" t="s">
        <v>299</v>
      </c>
      <c r="C250" s="60">
        <f>SUM(D250:F250)</f>
        <v>260.14800000000002</v>
      </c>
      <c r="D250" s="61">
        <v>260.14800000000002</v>
      </c>
      <c r="E250" s="61">
        <v>0</v>
      </c>
      <c r="F250" s="61">
        <v>0</v>
      </c>
      <c r="G250" s="60">
        <f>H250+I250+J250</f>
        <v>260.14800000000002</v>
      </c>
      <c r="H250" s="190">
        <v>260.14800000000002</v>
      </c>
      <c r="I250" s="61">
        <v>0</v>
      </c>
      <c r="J250" s="61">
        <v>0</v>
      </c>
      <c r="K250" s="62">
        <f>G250/C250</f>
        <v>1</v>
      </c>
      <c r="L250" s="24"/>
    </row>
    <row r="251" spans="1:16" s="14" customFormat="1" ht="72.75" customHeight="1" x14ac:dyDescent="0.2">
      <c r="A251" s="8" t="s">
        <v>300</v>
      </c>
      <c r="B251" s="9" t="s">
        <v>301</v>
      </c>
      <c r="C251" s="10">
        <f>SUM(C253+C261+C272+C278+C285)</f>
        <v>359600.64298</v>
      </c>
      <c r="D251" s="10">
        <f>SUM(D253+D261+D272+D278+D285)</f>
        <v>207019.24297999998</v>
      </c>
      <c r="E251" s="10">
        <f>SUM(E253+E261+E272+E278+E285)</f>
        <v>152581.4</v>
      </c>
      <c r="F251" s="10">
        <f>SUM(F253+F261+F273+F278+F285)</f>
        <v>0</v>
      </c>
      <c r="G251" s="10">
        <f>SUM(G253+G261+G272+G278+G285)</f>
        <v>20719.112000000001</v>
      </c>
      <c r="H251" s="10">
        <f>SUM(H253+H261+H272+H278+H285)</f>
        <v>20613.86</v>
      </c>
      <c r="I251" s="10">
        <f>SUM(I253+I261+I273+I278+I285)</f>
        <v>0</v>
      </c>
      <c r="J251" s="10">
        <f>SUM(J253+J261+J273+J278+J285)</f>
        <v>0</v>
      </c>
      <c r="K251" s="12">
        <f>G251/C251</f>
        <v>5.7617004876023933E-2</v>
      </c>
      <c r="L251" s="144"/>
    </row>
    <row r="252" spans="1:16" s="2" customFormat="1" x14ac:dyDescent="0.25">
      <c r="A252" s="28" t="s">
        <v>302</v>
      </c>
      <c r="B252" s="208" t="s">
        <v>303</v>
      </c>
      <c r="C252" s="208"/>
      <c r="D252" s="208"/>
      <c r="E252" s="208"/>
      <c r="F252" s="208"/>
      <c r="G252" s="208"/>
      <c r="H252" s="208"/>
      <c r="I252" s="208"/>
      <c r="J252" s="208"/>
      <c r="K252" s="208"/>
      <c r="L252" s="208"/>
    </row>
    <row r="253" spans="1:16" s="14" customFormat="1" ht="60.95" customHeight="1" x14ac:dyDescent="0.2">
      <c r="A253" s="24"/>
      <c r="B253" s="17" t="s">
        <v>304</v>
      </c>
      <c r="C253" s="18">
        <f t="shared" ref="C253:J253" si="5">SUM(C256+C257+C259)</f>
        <v>18555.163</v>
      </c>
      <c r="D253" s="19">
        <f t="shared" si="5"/>
        <v>18555.163</v>
      </c>
      <c r="E253" s="19">
        <f t="shared" si="5"/>
        <v>0</v>
      </c>
      <c r="F253" s="19">
        <f t="shared" si="5"/>
        <v>0</v>
      </c>
      <c r="G253" s="18">
        <f t="shared" si="5"/>
        <v>8759.0950000000012</v>
      </c>
      <c r="H253" s="149">
        <f t="shared" si="5"/>
        <v>8759.0950000000012</v>
      </c>
      <c r="I253" s="19">
        <f t="shared" si="5"/>
        <v>0</v>
      </c>
      <c r="J253" s="19">
        <f t="shared" si="5"/>
        <v>0</v>
      </c>
      <c r="K253" s="20">
        <f>G253/C253</f>
        <v>0.47205702261952648</v>
      </c>
      <c r="L253" s="24"/>
    </row>
    <row r="254" spans="1:16" s="2" customFormat="1" x14ac:dyDescent="0.25">
      <c r="A254" s="23"/>
      <c r="B254" s="202" t="s">
        <v>305</v>
      </c>
      <c r="C254" s="202"/>
      <c r="D254" s="202"/>
      <c r="E254" s="202"/>
      <c r="F254" s="202"/>
      <c r="G254" s="202"/>
      <c r="H254" s="202"/>
      <c r="I254" s="202"/>
      <c r="J254" s="202"/>
      <c r="K254" s="202"/>
      <c r="L254" s="202"/>
    </row>
    <row r="255" spans="1:16" s="2" customFormat="1" x14ac:dyDescent="0.25">
      <c r="A255" s="23"/>
      <c r="B255" s="202" t="s">
        <v>306</v>
      </c>
      <c r="C255" s="202"/>
      <c r="D255" s="202"/>
      <c r="E255" s="202"/>
      <c r="F255" s="202"/>
      <c r="G255" s="202"/>
      <c r="H255" s="202"/>
      <c r="I255" s="202"/>
      <c r="J255" s="202"/>
      <c r="K255" s="202"/>
      <c r="L255" s="202"/>
    </row>
    <row r="256" spans="1:16" s="14" customFormat="1" ht="47.25" x14ac:dyDescent="0.2">
      <c r="A256" s="24"/>
      <c r="B256" s="156" t="s">
        <v>307</v>
      </c>
      <c r="C256" s="18">
        <f>SUM(D256:F256)</f>
        <v>3016.6</v>
      </c>
      <c r="D256" s="19">
        <v>3016.6</v>
      </c>
      <c r="E256" s="19">
        <v>0</v>
      </c>
      <c r="F256" s="19">
        <v>0</v>
      </c>
      <c r="G256" s="18">
        <f>SUM(H256:J256)</f>
        <v>730.42200000000003</v>
      </c>
      <c r="H256" s="149">
        <v>730.42200000000003</v>
      </c>
      <c r="I256" s="19">
        <v>0</v>
      </c>
      <c r="J256" s="19">
        <v>0</v>
      </c>
      <c r="K256" s="72">
        <f>G256/C256</f>
        <v>0.24213419081084667</v>
      </c>
      <c r="L256" s="141"/>
      <c r="N256" s="14" t="s">
        <v>308</v>
      </c>
      <c r="O256" s="40" t="s">
        <v>309</v>
      </c>
    </row>
    <row r="257" spans="1:15" s="14" customFormat="1" ht="94.5" x14ac:dyDescent="0.2">
      <c r="A257" s="24"/>
      <c r="B257" s="17" t="s">
        <v>310</v>
      </c>
      <c r="C257" s="18">
        <f>SUM(D257:F257)</f>
        <v>12904.5</v>
      </c>
      <c r="D257" s="19">
        <v>12904.5</v>
      </c>
      <c r="E257" s="19">
        <v>0</v>
      </c>
      <c r="F257" s="19">
        <v>0</v>
      </c>
      <c r="G257" s="18">
        <f>SUM(H257:J257)</f>
        <v>7505.7330000000002</v>
      </c>
      <c r="H257" s="149">
        <v>7505.7330000000002</v>
      </c>
      <c r="I257" s="19">
        <v>0</v>
      </c>
      <c r="J257" s="19">
        <v>0</v>
      </c>
      <c r="K257" s="72">
        <f>G257/C257</f>
        <v>0.58163687085900273</v>
      </c>
      <c r="L257" s="24"/>
      <c r="N257" s="14" t="s">
        <v>311</v>
      </c>
    </row>
    <row r="258" spans="1:15" s="2" customFormat="1" x14ac:dyDescent="0.25">
      <c r="A258" s="23"/>
      <c r="B258" s="202" t="s">
        <v>312</v>
      </c>
      <c r="C258" s="202"/>
      <c r="D258" s="202"/>
      <c r="E258" s="202"/>
      <c r="F258" s="202"/>
      <c r="G258" s="202"/>
      <c r="H258" s="202"/>
      <c r="I258" s="202"/>
      <c r="J258" s="202"/>
      <c r="K258" s="202"/>
      <c r="L258" s="202"/>
      <c r="O258" s="118"/>
    </row>
    <row r="259" spans="1:15" s="14" customFormat="1" ht="31.5" x14ac:dyDescent="0.2">
      <c r="A259" s="24"/>
      <c r="B259" s="17" t="s">
        <v>388</v>
      </c>
      <c r="C259" s="30">
        <f>SUM(D259:F259)</f>
        <v>2634.0630000000001</v>
      </c>
      <c r="D259" s="31">
        <f>2257.3+376.763</f>
        <v>2634.0630000000001</v>
      </c>
      <c r="E259" s="31">
        <v>0</v>
      </c>
      <c r="F259" s="31">
        <v>0</v>
      </c>
      <c r="G259" s="30">
        <f>SUM(H259:J259)</f>
        <v>522.94000000000005</v>
      </c>
      <c r="H259" s="186">
        <v>522.94000000000005</v>
      </c>
      <c r="I259" s="31">
        <v>0</v>
      </c>
      <c r="J259" s="31">
        <v>0</v>
      </c>
      <c r="K259" s="72">
        <f>G259/C259</f>
        <v>0.19852979978079494</v>
      </c>
      <c r="L259" s="141"/>
      <c r="N259" s="14" t="s">
        <v>314</v>
      </c>
      <c r="O259" s="40"/>
    </row>
    <row r="260" spans="1:15" s="2" customFormat="1" x14ac:dyDescent="0.25">
      <c r="A260" s="28" t="s">
        <v>315</v>
      </c>
      <c r="B260" s="208" t="s">
        <v>316</v>
      </c>
      <c r="C260" s="208"/>
      <c r="D260" s="208"/>
      <c r="E260" s="208"/>
      <c r="F260" s="208"/>
      <c r="G260" s="208"/>
      <c r="H260" s="208"/>
      <c r="I260" s="208"/>
      <c r="J260" s="208"/>
      <c r="K260" s="208"/>
      <c r="L260" s="208"/>
    </row>
    <row r="261" spans="1:15" s="14" customFormat="1" ht="36.75" customHeight="1" x14ac:dyDescent="0.2">
      <c r="A261" s="24"/>
      <c r="B261" s="17" t="s">
        <v>317</v>
      </c>
      <c r="C261" s="18">
        <f>C262+C263+C264+C265+C268+C270</f>
        <v>241923.05298000001</v>
      </c>
      <c r="D261" s="19">
        <f>D262+D263+D265+D264+D268+D270</f>
        <v>89532.752980000005</v>
      </c>
      <c r="E261" s="19">
        <f>E262+E263+E264+E268+E270</f>
        <v>152390.29999999999</v>
      </c>
      <c r="F261" s="19">
        <f>F262+F263+F264+F268+F270</f>
        <v>0</v>
      </c>
      <c r="G261" s="18">
        <f>G262+G263+G264+G268+G270+G265</f>
        <v>657.05799999999999</v>
      </c>
      <c r="H261" s="149">
        <f>H262+H263+H264+H265+H268+H270</f>
        <v>657.05799999999999</v>
      </c>
      <c r="I261" s="19">
        <f>I262+I263+I264+I268+I270</f>
        <v>0</v>
      </c>
      <c r="J261" s="31">
        <f>J262+J263+J264+J268+J270</f>
        <v>0</v>
      </c>
      <c r="K261" s="20">
        <f>G261/C261</f>
        <v>2.7159792831083344E-3</v>
      </c>
      <c r="L261" s="24"/>
      <c r="N261" s="14" t="s">
        <v>1</v>
      </c>
    </row>
    <row r="262" spans="1:15" s="14" customFormat="1" ht="57" customHeight="1" x14ac:dyDescent="0.2">
      <c r="A262" s="24"/>
      <c r="B262" s="17" t="s">
        <v>318</v>
      </c>
      <c r="C262" s="18">
        <f>SUM(D262:F262)</f>
        <v>73817.351999999999</v>
      </c>
      <c r="D262" s="19">
        <f>9041.398+64775.954</f>
        <v>73817.351999999999</v>
      </c>
      <c r="E262" s="19">
        <v>0</v>
      </c>
      <c r="F262" s="19">
        <v>0</v>
      </c>
      <c r="G262" s="18">
        <f>SUM(H262:J262)</f>
        <v>0</v>
      </c>
      <c r="H262" s="19"/>
      <c r="I262" s="19">
        <v>0</v>
      </c>
      <c r="J262" s="19">
        <v>0</v>
      </c>
      <c r="K262" s="20">
        <f>G262/C262</f>
        <v>0</v>
      </c>
      <c r="L262" s="141"/>
      <c r="N262" s="43" t="s">
        <v>320</v>
      </c>
    </row>
    <row r="263" spans="1:15" s="14" customFormat="1" ht="99" customHeight="1" x14ac:dyDescent="0.2">
      <c r="A263" s="24"/>
      <c r="B263" s="17" t="s">
        <v>321</v>
      </c>
      <c r="C263" s="18">
        <f>SUM(D263:F263)</f>
        <v>160410.79999999999</v>
      </c>
      <c r="D263" s="19">
        <v>8020.5</v>
      </c>
      <c r="E263" s="19">
        <v>152390.29999999999</v>
      </c>
      <c r="F263" s="19">
        <v>0</v>
      </c>
      <c r="G263" s="18">
        <f>SUM(H263:J263)</f>
        <v>0</v>
      </c>
      <c r="H263" s="149">
        <v>0</v>
      </c>
      <c r="I263" s="19">
        <v>0</v>
      </c>
      <c r="J263" s="19">
        <v>0</v>
      </c>
      <c r="K263" s="20">
        <f>G263/C263</f>
        <v>0</v>
      </c>
      <c r="L263" s="24"/>
      <c r="N263" s="43" t="s">
        <v>322</v>
      </c>
    </row>
    <row r="264" spans="1:15" s="14" customFormat="1" ht="66" customHeight="1" x14ac:dyDescent="0.2">
      <c r="A264" s="24"/>
      <c r="B264" s="17" t="s">
        <v>389</v>
      </c>
      <c r="C264" s="18">
        <f>SUM(D264:F264)</f>
        <v>2728</v>
      </c>
      <c r="D264" s="19">
        <v>2728</v>
      </c>
      <c r="E264" s="19">
        <v>0</v>
      </c>
      <c r="F264" s="19">
        <v>0</v>
      </c>
      <c r="G264" s="18">
        <f>SUM(H264:J264)</f>
        <v>0</v>
      </c>
      <c r="H264" s="19">
        <v>0</v>
      </c>
      <c r="I264" s="19">
        <v>0</v>
      </c>
      <c r="J264" s="19">
        <v>0</v>
      </c>
      <c r="K264" s="20">
        <f>G264/C264</f>
        <v>0</v>
      </c>
      <c r="L264" s="24"/>
      <c r="O264" s="40"/>
    </row>
    <row r="265" spans="1:15" s="135" customFormat="1" ht="116.25" customHeight="1" x14ac:dyDescent="0.2">
      <c r="A265" s="24"/>
      <c r="B265" s="17" t="s">
        <v>325</v>
      </c>
      <c r="C265" s="18">
        <f>SUM(D265:F265)</f>
        <v>500</v>
      </c>
      <c r="D265" s="19">
        <v>500</v>
      </c>
      <c r="E265" s="19">
        <v>0</v>
      </c>
      <c r="F265" s="19">
        <v>0</v>
      </c>
      <c r="G265" s="18">
        <f>SUM(H265:J265)</f>
        <v>500</v>
      </c>
      <c r="H265" s="149">
        <v>500</v>
      </c>
      <c r="I265" s="19">
        <v>0</v>
      </c>
      <c r="J265" s="19">
        <v>0</v>
      </c>
      <c r="K265" s="20">
        <f>G265/C265</f>
        <v>1</v>
      </c>
      <c r="L265" s="24"/>
      <c r="M265" s="14"/>
      <c r="N265" s="14"/>
      <c r="O265" s="40"/>
    </row>
    <row r="266" spans="1:15" s="135" customFormat="1" ht="24.75" customHeight="1" x14ac:dyDescent="0.2">
      <c r="A266" s="157"/>
      <c r="B266" s="209" t="s">
        <v>326</v>
      </c>
      <c r="C266" s="209"/>
      <c r="D266" s="209"/>
      <c r="E266" s="209"/>
      <c r="F266" s="209"/>
      <c r="G266" s="209"/>
      <c r="H266" s="209"/>
      <c r="I266" s="209"/>
      <c r="J266" s="209"/>
      <c r="K266" s="209"/>
      <c r="L266" s="209"/>
      <c r="M266" s="158"/>
      <c r="N266" s="159"/>
      <c r="O266" s="160"/>
    </row>
    <row r="267" spans="1:15" s="14" customFormat="1" ht="66" customHeight="1" x14ac:dyDescent="0.2">
      <c r="A267" s="157"/>
      <c r="B267" s="210" t="s">
        <v>327</v>
      </c>
      <c r="C267" s="210"/>
      <c r="D267" s="210"/>
      <c r="E267" s="210"/>
      <c r="F267" s="210"/>
      <c r="G267" s="210"/>
      <c r="H267" s="210"/>
      <c r="I267" s="210"/>
      <c r="J267" s="210"/>
      <c r="K267" s="210"/>
      <c r="L267" s="210"/>
      <c r="M267" s="161"/>
      <c r="N267" s="159"/>
      <c r="O267" s="160"/>
    </row>
    <row r="268" spans="1:15" s="14" customFormat="1" ht="96.75" customHeight="1" x14ac:dyDescent="0.2">
      <c r="A268" s="24"/>
      <c r="B268" s="17" t="s">
        <v>328</v>
      </c>
      <c r="C268" s="30">
        <f>SUM(D268:F268)</f>
        <v>2469.527</v>
      </c>
      <c r="D268" s="31">
        <f>1499.22+2277.24+131.667-1438.6</f>
        <v>2469.527</v>
      </c>
      <c r="E268" s="31">
        <v>0</v>
      </c>
      <c r="F268" s="31">
        <v>0</v>
      </c>
      <c r="G268" s="30">
        <f>SUM(H268:J268)</f>
        <v>0</v>
      </c>
      <c r="H268" s="31">
        <v>0</v>
      </c>
      <c r="I268" s="31">
        <v>0</v>
      </c>
      <c r="J268" s="31">
        <v>0</v>
      </c>
      <c r="K268" s="20">
        <f>G268/C268</f>
        <v>0</v>
      </c>
      <c r="L268" s="24"/>
      <c r="O268" s="40"/>
    </row>
    <row r="269" spans="1:15" s="14" customFormat="1" ht="30" customHeight="1" x14ac:dyDescent="0.2">
      <c r="A269" s="24"/>
      <c r="B269" s="209" t="s">
        <v>329</v>
      </c>
      <c r="C269" s="209"/>
      <c r="D269" s="209"/>
      <c r="E269" s="209"/>
      <c r="F269" s="209"/>
      <c r="G269" s="209"/>
      <c r="H269" s="209"/>
      <c r="I269" s="209"/>
      <c r="J269" s="209"/>
      <c r="K269" s="209"/>
      <c r="L269" s="209"/>
    </row>
    <row r="270" spans="1:15" s="14" customFormat="1" ht="47.25" x14ac:dyDescent="0.2">
      <c r="A270" s="24"/>
      <c r="B270" s="17" t="s">
        <v>330</v>
      </c>
      <c r="C270" s="30">
        <f>SUM(D270:F270)</f>
        <v>1997.3739799999998</v>
      </c>
      <c r="D270" s="31">
        <f>70+5+1000+504.17998+160+2.464+15.73+240</f>
        <v>1997.3739799999998</v>
      </c>
      <c r="E270" s="31">
        <v>0</v>
      </c>
      <c r="F270" s="31">
        <v>0</v>
      </c>
      <c r="G270" s="30">
        <f>SUM(H270:J270)</f>
        <v>157.05799999999999</v>
      </c>
      <c r="H270" s="31">
        <f>80+15.73+61.328</f>
        <v>157.05799999999999</v>
      </c>
      <c r="I270" s="31">
        <v>0</v>
      </c>
      <c r="J270" s="31">
        <v>0</v>
      </c>
      <c r="K270" s="20">
        <f>G270/C270</f>
        <v>7.8632244923907538E-2</v>
      </c>
      <c r="L270" s="24"/>
      <c r="O270" s="40"/>
    </row>
    <row r="271" spans="1:15" s="2" customFormat="1" x14ac:dyDescent="0.25">
      <c r="A271" s="28" t="s">
        <v>331</v>
      </c>
      <c r="B271" s="208" t="s">
        <v>332</v>
      </c>
      <c r="C271" s="208"/>
      <c r="D271" s="208"/>
      <c r="E271" s="208"/>
      <c r="F271" s="208"/>
      <c r="G271" s="208"/>
      <c r="H271" s="208"/>
      <c r="I271" s="208"/>
      <c r="J271" s="208"/>
      <c r="K271" s="208"/>
      <c r="L271" s="208"/>
    </row>
    <row r="272" spans="1:15" s="14" customFormat="1" ht="34.700000000000003" customHeight="1" x14ac:dyDescent="0.2">
      <c r="A272" s="24"/>
      <c r="B272" s="17" t="s">
        <v>390</v>
      </c>
      <c r="C272" s="18">
        <f>SUM(D272+E272)</f>
        <v>57264.1</v>
      </c>
      <c r="D272" s="19">
        <f>D273+D276</f>
        <v>57073</v>
      </c>
      <c r="E272" s="19">
        <f>E273+E276</f>
        <v>191.1</v>
      </c>
      <c r="F272" s="19">
        <f>F273+F276</f>
        <v>0</v>
      </c>
      <c r="G272" s="18">
        <f>I272+J272+H272</f>
        <v>5593.5810000000001</v>
      </c>
      <c r="H272" s="149">
        <f>H273+H276</f>
        <v>5488.3289999999997</v>
      </c>
      <c r="I272" s="19">
        <f>I273+I276</f>
        <v>105.252</v>
      </c>
      <c r="J272" s="19">
        <f>SUM(J275)</f>
        <v>0</v>
      </c>
      <c r="K272" s="20">
        <f>G272/C272</f>
        <v>9.7680414081422751E-2</v>
      </c>
      <c r="L272" s="24"/>
    </row>
    <row r="273" spans="1:18" s="14" customFormat="1" ht="54" customHeight="1" x14ac:dyDescent="0.2">
      <c r="A273" s="24"/>
      <c r="B273" s="17" t="s">
        <v>334</v>
      </c>
      <c r="C273" s="18">
        <f>SUM(D273+E273)</f>
        <v>40000</v>
      </c>
      <c r="D273" s="19">
        <v>40000</v>
      </c>
      <c r="E273" s="19">
        <v>0</v>
      </c>
      <c r="F273" s="19">
        <f>SUM(F276)</f>
        <v>0</v>
      </c>
      <c r="G273" s="18">
        <f>I273+J273+H273</f>
        <v>0</v>
      </c>
      <c r="H273" s="19">
        <v>0</v>
      </c>
      <c r="I273" s="19">
        <v>0</v>
      </c>
      <c r="J273" s="19">
        <f>SUM(J276)</f>
        <v>0</v>
      </c>
      <c r="K273" s="20">
        <f>G273/C273</f>
        <v>0</v>
      </c>
      <c r="L273" s="24"/>
    </row>
    <row r="274" spans="1:18" s="2" customFormat="1" x14ac:dyDescent="0.25">
      <c r="A274" s="23"/>
      <c r="B274" s="202" t="s">
        <v>335</v>
      </c>
      <c r="C274" s="202"/>
      <c r="D274" s="202"/>
      <c r="E274" s="202"/>
      <c r="F274" s="202"/>
      <c r="G274" s="202"/>
      <c r="H274" s="202"/>
      <c r="I274" s="202"/>
      <c r="J274" s="202"/>
      <c r="K274" s="202"/>
      <c r="L274" s="202"/>
    </row>
    <row r="275" spans="1:18" s="2" customFormat="1" x14ac:dyDescent="0.2">
      <c r="A275" s="24"/>
      <c r="B275" s="211" t="s">
        <v>336</v>
      </c>
      <c r="C275" s="211"/>
      <c r="D275" s="211"/>
      <c r="E275" s="211"/>
      <c r="F275" s="211"/>
      <c r="G275" s="211"/>
      <c r="H275" s="211"/>
      <c r="I275" s="211"/>
      <c r="J275" s="211"/>
      <c r="K275" s="211"/>
      <c r="L275" s="211"/>
    </row>
    <row r="276" spans="1:18" s="14" customFormat="1" ht="80.25" customHeight="1" x14ac:dyDescent="0.2">
      <c r="A276" s="24"/>
      <c r="B276" s="17" t="s">
        <v>337</v>
      </c>
      <c r="C276" s="18">
        <f>SUM(D276:F276)</f>
        <v>17264.099999999999</v>
      </c>
      <c r="D276" s="19">
        <v>17073</v>
      </c>
      <c r="E276" s="19">
        <v>191.1</v>
      </c>
      <c r="F276" s="19">
        <v>0</v>
      </c>
      <c r="G276" s="18">
        <f>SUM(H276:J276)</f>
        <v>5593.5810000000001</v>
      </c>
      <c r="H276" s="149">
        <f>873.703+4614.626</f>
        <v>5488.3289999999997</v>
      </c>
      <c r="I276" s="19">
        <v>105.252</v>
      </c>
      <c r="J276" s="19">
        <v>0</v>
      </c>
      <c r="K276" s="72">
        <f>G276/C276</f>
        <v>0.3240007298382192</v>
      </c>
      <c r="L276" s="162"/>
      <c r="N276" s="43" t="s">
        <v>391</v>
      </c>
      <c r="P276" s="14" t="s">
        <v>338</v>
      </c>
    </row>
    <row r="277" spans="1:18" s="2" customFormat="1" x14ac:dyDescent="0.25">
      <c r="A277" s="28" t="s">
        <v>339</v>
      </c>
      <c r="B277" s="208" t="s">
        <v>340</v>
      </c>
      <c r="C277" s="208"/>
      <c r="D277" s="208"/>
      <c r="E277" s="208"/>
      <c r="F277" s="208"/>
      <c r="G277" s="208"/>
      <c r="H277" s="208"/>
      <c r="I277" s="208"/>
      <c r="J277" s="208"/>
      <c r="K277" s="208"/>
      <c r="L277" s="208"/>
    </row>
    <row r="278" spans="1:18" s="14" customFormat="1" ht="30" customHeight="1" x14ac:dyDescent="0.2">
      <c r="A278" s="24"/>
      <c r="B278" s="17" t="s">
        <v>341</v>
      </c>
      <c r="C278" s="18">
        <f>D278+E278+F278</f>
        <v>41853.326999999997</v>
      </c>
      <c r="D278" s="19">
        <f>D281+D283+D282</f>
        <v>41853.326999999997</v>
      </c>
      <c r="E278" s="19">
        <f>SUM(E281:E281)</f>
        <v>0</v>
      </c>
      <c r="F278" s="19">
        <f>SUM(F281:F281)</f>
        <v>0</v>
      </c>
      <c r="G278" s="18">
        <f>H278+I278+J278</f>
        <v>5704.3779999999997</v>
      </c>
      <c r="H278" s="149">
        <f>H281+H282+H283</f>
        <v>5704.3779999999997</v>
      </c>
      <c r="I278" s="19">
        <f>SUM(I281:I281)</f>
        <v>0</v>
      </c>
      <c r="J278" s="19">
        <f>SUM(J281:J281)</f>
        <v>0</v>
      </c>
      <c r="K278" s="20">
        <f>G278/C278</f>
        <v>0.13629449338639196</v>
      </c>
      <c r="L278" s="24"/>
    </row>
    <row r="279" spans="1:18" s="2" customFormat="1" x14ac:dyDescent="0.25">
      <c r="A279" s="23"/>
      <c r="B279" s="202" t="s">
        <v>342</v>
      </c>
      <c r="C279" s="202"/>
      <c r="D279" s="202"/>
      <c r="E279" s="202"/>
      <c r="F279" s="202"/>
      <c r="G279" s="202"/>
      <c r="H279" s="202"/>
      <c r="I279" s="202"/>
      <c r="J279" s="202"/>
      <c r="K279" s="202"/>
      <c r="L279" s="24"/>
    </row>
    <row r="280" spans="1:18" s="2" customFormat="1" x14ac:dyDescent="0.25">
      <c r="A280" s="23"/>
      <c r="B280" s="202" t="s">
        <v>343</v>
      </c>
      <c r="C280" s="202"/>
      <c r="D280" s="202"/>
      <c r="E280" s="202"/>
      <c r="F280" s="202"/>
      <c r="G280" s="202"/>
      <c r="H280" s="202"/>
      <c r="I280" s="202"/>
      <c r="J280" s="202"/>
      <c r="K280" s="202"/>
      <c r="L280" s="24"/>
      <c r="R280" s="2" t="s">
        <v>1</v>
      </c>
    </row>
    <row r="281" spans="1:18" s="14" customFormat="1" ht="60.75" customHeight="1" x14ac:dyDescent="0.2">
      <c r="A281" s="24"/>
      <c r="B281" s="17" t="s">
        <v>344</v>
      </c>
      <c r="C281" s="18">
        <f>SUM(D281:F281)</f>
        <v>1712</v>
      </c>
      <c r="D281" s="19">
        <v>1712</v>
      </c>
      <c r="E281" s="19">
        <v>0</v>
      </c>
      <c r="F281" s="19">
        <v>0</v>
      </c>
      <c r="G281" s="18">
        <f>H281+I281+J281</f>
        <v>0</v>
      </c>
      <c r="H281" s="19">
        <v>0</v>
      </c>
      <c r="I281" s="19">
        <v>0</v>
      </c>
      <c r="J281" s="19">
        <v>0</v>
      </c>
      <c r="K281" s="72">
        <f>G281/C281</f>
        <v>0</v>
      </c>
      <c r="L281" s="141"/>
      <c r="N281" s="14" t="s">
        <v>345</v>
      </c>
      <c r="P281" s="14" t="s">
        <v>346</v>
      </c>
    </row>
    <row r="282" spans="1:18" s="14" customFormat="1" ht="47.25" customHeight="1" x14ac:dyDescent="0.2">
      <c r="A282" s="24"/>
      <c r="B282" s="17" t="s">
        <v>347</v>
      </c>
      <c r="C282" s="18">
        <f>D282+E282+F282</f>
        <v>9341.3269999999993</v>
      </c>
      <c r="D282" s="19">
        <f>1516.39-70+7894.937</f>
        <v>9341.3269999999993</v>
      </c>
      <c r="E282" s="19"/>
      <c r="F282" s="19"/>
      <c r="G282" s="18">
        <f>H282+I282+J282</f>
        <v>5704.3779999999997</v>
      </c>
      <c r="H282" s="149">
        <v>5704.3779999999997</v>
      </c>
      <c r="I282" s="19">
        <v>0</v>
      </c>
      <c r="J282" s="19">
        <v>0</v>
      </c>
      <c r="K282" s="72">
        <f>G282/C282</f>
        <v>0.61066034836378169</v>
      </c>
      <c r="L282" s="141"/>
      <c r="N282" s="43" t="s">
        <v>348</v>
      </c>
      <c r="P282" s="14" t="s">
        <v>338</v>
      </c>
    </row>
    <row r="283" spans="1:18" s="14" customFormat="1" ht="45" customHeight="1" x14ac:dyDescent="0.2">
      <c r="A283" s="24"/>
      <c r="B283" s="17" t="s">
        <v>349</v>
      </c>
      <c r="C283" s="18">
        <f>D283+E283+F283</f>
        <v>30800</v>
      </c>
      <c r="D283" s="19">
        <v>30800</v>
      </c>
      <c r="E283" s="19">
        <v>0</v>
      </c>
      <c r="F283" s="19">
        <v>0</v>
      </c>
      <c r="G283" s="18">
        <f>H283+I283+J283</f>
        <v>0</v>
      </c>
      <c r="H283" s="149">
        <v>0</v>
      </c>
      <c r="I283" s="19">
        <v>0</v>
      </c>
      <c r="J283" s="19">
        <v>0</v>
      </c>
      <c r="K283" s="72">
        <v>0</v>
      </c>
      <c r="L283" s="24"/>
      <c r="N283" s="14" t="s">
        <v>392</v>
      </c>
      <c r="P283" s="14" t="s">
        <v>346</v>
      </c>
    </row>
    <row r="284" spans="1:18" s="2" customFormat="1" ht="15.75" customHeight="1" x14ac:dyDescent="0.25">
      <c r="A284" s="28" t="s">
        <v>351</v>
      </c>
      <c r="B284" s="203" t="s">
        <v>352</v>
      </c>
      <c r="C284" s="203"/>
      <c r="D284" s="203"/>
      <c r="E284" s="203"/>
      <c r="F284" s="203"/>
      <c r="G284" s="203"/>
      <c r="H284" s="203"/>
      <c r="I284" s="203"/>
      <c r="J284" s="203"/>
      <c r="K284" s="203"/>
      <c r="L284" s="203"/>
    </row>
    <row r="285" spans="1:18" s="2" customFormat="1" ht="63" x14ac:dyDescent="0.25">
      <c r="A285" s="23"/>
      <c r="B285" s="59" t="s">
        <v>353</v>
      </c>
      <c r="C285" s="196">
        <f>D285+E285+F285</f>
        <v>5</v>
      </c>
      <c r="D285" s="171">
        <f t="shared" ref="D285:J285" si="6">D288+D290</f>
        <v>5</v>
      </c>
      <c r="E285" s="171">
        <f t="shared" si="6"/>
        <v>0</v>
      </c>
      <c r="F285" s="171">
        <f t="shared" si="6"/>
        <v>0</v>
      </c>
      <c r="G285" s="196">
        <f t="shared" si="6"/>
        <v>5</v>
      </c>
      <c r="H285" s="197">
        <f t="shared" si="6"/>
        <v>5</v>
      </c>
      <c r="I285" s="171">
        <f t="shared" si="6"/>
        <v>0</v>
      </c>
      <c r="J285" s="171">
        <f t="shared" si="6"/>
        <v>0</v>
      </c>
      <c r="K285" s="72">
        <f>G285/C285</f>
        <v>1</v>
      </c>
      <c r="L285" s="24"/>
    </row>
    <row r="286" spans="1:18" s="2" customFormat="1" ht="15.75" customHeight="1" x14ac:dyDescent="0.25">
      <c r="A286" s="23"/>
      <c r="B286" s="204" t="s">
        <v>354</v>
      </c>
      <c r="C286" s="204"/>
      <c r="D286" s="204"/>
      <c r="E286" s="204"/>
      <c r="F286" s="204"/>
      <c r="G286" s="204"/>
      <c r="H286" s="204"/>
      <c r="I286" s="204"/>
      <c r="J286" s="204"/>
      <c r="K286" s="204"/>
      <c r="L286" s="163"/>
    </row>
    <row r="287" spans="1:18" s="2" customFormat="1" ht="37.5" customHeight="1" x14ac:dyDescent="0.25">
      <c r="A287" s="23"/>
      <c r="B287" s="204" t="s">
        <v>355</v>
      </c>
      <c r="C287" s="204"/>
      <c r="D287" s="204"/>
      <c r="E287" s="204"/>
      <c r="F287" s="204"/>
      <c r="G287" s="204"/>
      <c r="H287" s="204"/>
      <c r="I287" s="204"/>
      <c r="J287" s="204"/>
      <c r="K287" s="204"/>
      <c r="L287" s="163"/>
    </row>
    <row r="288" spans="1:18" s="14" customFormat="1" ht="47.25" x14ac:dyDescent="0.2">
      <c r="A288" s="24"/>
      <c r="B288" s="17" t="s">
        <v>356</v>
      </c>
      <c r="C288" s="30">
        <f>SUM(D288:F288)</f>
        <v>5</v>
      </c>
      <c r="D288" s="31">
        <v>5</v>
      </c>
      <c r="E288" s="31">
        <v>0</v>
      </c>
      <c r="F288" s="31">
        <v>0</v>
      </c>
      <c r="G288" s="30">
        <f>SUM(H288:J288)</f>
        <v>5</v>
      </c>
      <c r="H288" s="186">
        <v>5</v>
      </c>
      <c r="I288" s="31">
        <v>0</v>
      </c>
      <c r="J288" s="31">
        <v>0</v>
      </c>
      <c r="K288" s="72">
        <f>G288/C288</f>
        <v>1</v>
      </c>
      <c r="L288" s="24"/>
    </row>
    <row r="289" spans="1:14" s="14" customFormat="1" ht="47.25" x14ac:dyDescent="0.2">
      <c r="A289" s="24"/>
      <c r="B289" s="17" t="s">
        <v>358</v>
      </c>
      <c r="C289" s="30">
        <f>SUM(D289:F289)</f>
        <v>0</v>
      </c>
      <c r="D289" s="31">
        <v>0</v>
      </c>
      <c r="E289" s="31">
        <v>0</v>
      </c>
      <c r="F289" s="31">
        <v>0</v>
      </c>
      <c r="G289" s="30">
        <f>SUM(H289:J289)</f>
        <v>0</v>
      </c>
      <c r="H289" s="31">
        <v>0</v>
      </c>
      <c r="I289" s="31">
        <v>0</v>
      </c>
      <c r="J289" s="31">
        <v>0</v>
      </c>
      <c r="K289" s="72">
        <v>0</v>
      </c>
      <c r="L289" s="24"/>
    </row>
    <row r="290" spans="1:14" s="14" customFormat="1" ht="31.5" x14ac:dyDescent="0.2">
      <c r="A290" s="24"/>
      <c r="B290" s="17" t="s">
        <v>359</v>
      </c>
      <c r="C290" s="30">
        <f>SUM(D290:F290)</f>
        <v>0</v>
      </c>
      <c r="D290" s="31">
        <v>0</v>
      </c>
      <c r="E290" s="31">
        <v>0</v>
      </c>
      <c r="F290" s="31">
        <v>0</v>
      </c>
      <c r="G290" s="30">
        <f>SUM(H290:J290)</f>
        <v>0</v>
      </c>
      <c r="H290" s="31">
        <v>0</v>
      </c>
      <c r="I290" s="31">
        <v>0</v>
      </c>
      <c r="J290" s="31">
        <v>0</v>
      </c>
      <c r="K290" s="72">
        <v>0</v>
      </c>
      <c r="L290" s="24"/>
    </row>
    <row r="291" spans="1:14" s="14" customFormat="1" ht="117" customHeight="1" x14ac:dyDescent="0.2">
      <c r="A291" s="8" t="s">
        <v>360</v>
      </c>
      <c r="B291" s="9" t="s">
        <v>361</v>
      </c>
      <c r="C291" s="164">
        <f t="shared" ref="C291:J291" si="7">C292+C293+C294</f>
        <v>2218.4920000000002</v>
      </c>
      <c r="D291" s="164">
        <f t="shared" si="7"/>
        <v>554.62300000000005</v>
      </c>
      <c r="E291" s="164">
        <f t="shared" si="7"/>
        <v>1255.1959999999999</v>
      </c>
      <c r="F291" s="164">
        <f t="shared" si="7"/>
        <v>408.673</v>
      </c>
      <c r="G291" s="164">
        <f t="shared" si="7"/>
        <v>2218.4920000000002</v>
      </c>
      <c r="H291" s="164">
        <f t="shared" si="7"/>
        <v>554.62300000000005</v>
      </c>
      <c r="I291" s="164">
        <f t="shared" si="7"/>
        <v>1255.1959999999999</v>
      </c>
      <c r="J291" s="164">
        <f t="shared" si="7"/>
        <v>408.673</v>
      </c>
      <c r="K291" s="165">
        <f>G291/C291</f>
        <v>1</v>
      </c>
      <c r="L291" s="8"/>
    </row>
    <row r="292" spans="1:14" s="14" customFormat="1" ht="63" x14ac:dyDescent="0.2">
      <c r="A292" s="24"/>
      <c r="B292" s="17" t="s">
        <v>362</v>
      </c>
      <c r="C292" s="30">
        <f>SUM(D292:F292)</f>
        <v>0</v>
      </c>
      <c r="D292" s="31">
        <v>0</v>
      </c>
      <c r="E292" s="31">
        <v>0</v>
      </c>
      <c r="F292" s="31">
        <v>0</v>
      </c>
      <c r="G292" s="30">
        <f>SUM(H292:J292)</f>
        <v>0</v>
      </c>
      <c r="H292" s="31">
        <v>0</v>
      </c>
      <c r="I292" s="31">
        <v>0</v>
      </c>
      <c r="J292" s="31">
        <v>0</v>
      </c>
      <c r="K292" s="72">
        <v>0</v>
      </c>
      <c r="L292" s="24"/>
    </row>
    <row r="293" spans="1:14" s="14" customFormat="1" ht="63" x14ac:dyDescent="0.2">
      <c r="A293" s="24"/>
      <c r="B293" s="17" t="s">
        <v>363</v>
      </c>
      <c r="C293" s="30">
        <f>SUM(D293:F293)</f>
        <v>2218.4920000000002</v>
      </c>
      <c r="D293" s="31">
        <v>554.62300000000005</v>
      </c>
      <c r="E293" s="31">
        <v>1255.1959999999999</v>
      </c>
      <c r="F293" s="31">
        <v>408.673</v>
      </c>
      <c r="G293" s="30">
        <f>SUM(H293:J293)</f>
        <v>2218.4920000000002</v>
      </c>
      <c r="H293" s="186">
        <v>554.62300000000005</v>
      </c>
      <c r="I293" s="31">
        <v>1255.1959999999999</v>
      </c>
      <c r="J293" s="31">
        <v>408.673</v>
      </c>
      <c r="K293" s="72">
        <f>G293/C293</f>
        <v>1</v>
      </c>
      <c r="L293" s="24"/>
    </row>
    <row r="294" spans="1:14" s="14" customFormat="1" ht="47.25" x14ac:dyDescent="0.2">
      <c r="A294" s="24"/>
      <c r="B294" s="17" t="s">
        <v>364</v>
      </c>
      <c r="C294" s="30">
        <f>SUM(D294:F294)</f>
        <v>0</v>
      </c>
      <c r="D294" s="31">
        <v>0</v>
      </c>
      <c r="E294" s="31">
        <v>0</v>
      </c>
      <c r="F294" s="31">
        <v>0</v>
      </c>
      <c r="G294" s="30">
        <f>SUM(H294:J294)</f>
        <v>0</v>
      </c>
      <c r="H294" s="31">
        <v>0</v>
      </c>
      <c r="I294" s="31">
        <v>0</v>
      </c>
      <c r="J294" s="31">
        <v>0</v>
      </c>
      <c r="K294" s="72">
        <v>0</v>
      </c>
      <c r="L294" s="24"/>
    </row>
    <row r="295" spans="1:14" s="128" customFormat="1" ht="147.75" customHeight="1" x14ac:dyDescent="0.2">
      <c r="A295" s="8">
        <v>8</v>
      </c>
      <c r="B295" s="9" t="s">
        <v>393</v>
      </c>
      <c r="C295" s="166">
        <f>SUM(C298,C299,C300)</f>
        <v>200</v>
      </c>
      <c r="D295" s="166">
        <f>SUM(D298,D299,D300)</f>
        <v>200</v>
      </c>
      <c r="E295" s="166">
        <f>SUM(E298,E299,E300)</f>
        <v>0</v>
      </c>
      <c r="F295" s="166">
        <f>SUM(F298,F299,F300)</f>
        <v>0</v>
      </c>
      <c r="G295" s="166">
        <f>SUM(G298:G300)</f>
        <v>0</v>
      </c>
      <c r="H295" s="166">
        <f>SUM(H298,H299,H300)</f>
        <v>0</v>
      </c>
      <c r="I295" s="166">
        <f>SUM(I298,I299,I300)</f>
        <v>0</v>
      </c>
      <c r="J295" s="166">
        <f>SUM(J298,J299,J300)</f>
        <v>0</v>
      </c>
      <c r="K295" s="165">
        <f>G295/C295</f>
        <v>0</v>
      </c>
      <c r="L295" s="126"/>
    </row>
    <row r="296" spans="1:14" s="128" customFormat="1" ht="18.75" customHeight="1" x14ac:dyDescent="0.25">
      <c r="A296" s="28"/>
      <c r="B296" s="205" t="s">
        <v>366</v>
      </c>
      <c r="C296" s="205"/>
      <c r="D296" s="205"/>
      <c r="E296" s="205"/>
      <c r="F296" s="205"/>
      <c r="G296" s="205"/>
      <c r="H296" s="205"/>
      <c r="I296" s="205"/>
      <c r="J296" s="205"/>
      <c r="K296" s="205"/>
      <c r="L296" s="167"/>
    </row>
    <row r="297" spans="1:14" s="128" customFormat="1" ht="33" customHeight="1" x14ac:dyDescent="0.25">
      <c r="A297" s="168"/>
      <c r="B297" s="206" t="s">
        <v>367</v>
      </c>
      <c r="C297" s="206"/>
      <c r="D297" s="206"/>
      <c r="E297" s="206"/>
      <c r="F297" s="206"/>
      <c r="G297" s="206"/>
      <c r="H297" s="206"/>
      <c r="I297" s="206"/>
      <c r="J297" s="206"/>
      <c r="K297" s="206"/>
      <c r="L297" s="130"/>
    </row>
    <row r="298" spans="1:14" s="128" customFormat="1" ht="65.25" customHeight="1" x14ac:dyDescent="0.25">
      <c r="A298" s="168"/>
      <c r="B298" s="17" t="s">
        <v>368</v>
      </c>
      <c r="C298" s="75">
        <f>SUM(D298:F298)</f>
        <v>0</v>
      </c>
      <c r="D298" s="76">
        <v>0</v>
      </c>
      <c r="E298" s="76"/>
      <c r="F298" s="76"/>
      <c r="G298" s="75">
        <f>SUM(H298:J298)</f>
        <v>0</v>
      </c>
      <c r="H298" s="76">
        <v>0</v>
      </c>
      <c r="I298" s="76">
        <v>0</v>
      </c>
      <c r="J298" s="76">
        <v>0</v>
      </c>
      <c r="K298" s="62">
        <v>0</v>
      </c>
      <c r="L298" s="130"/>
    </row>
    <row r="299" spans="1:14" s="128" customFormat="1" ht="52.5" customHeight="1" x14ac:dyDescent="0.25">
      <c r="A299" s="103"/>
      <c r="B299" s="134" t="s">
        <v>369</v>
      </c>
      <c r="C299" s="75">
        <f>SUM(D299:F299)</f>
        <v>0</v>
      </c>
      <c r="D299" s="76">
        <v>0</v>
      </c>
      <c r="E299" s="76"/>
      <c r="F299" s="76"/>
      <c r="G299" s="75">
        <f>SUM(H299:J299)</f>
        <v>0</v>
      </c>
      <c r="H299" s="76">
        <v>0</v>
      </c>
      <c r="I299" s="76">
        <v>0</v>
      </c>
      <c r="J299" s="76">
        <v>0</v>
      </c>
      <c r="K299" s="62">
        <v>0</v>
      </c>
      <c r="L299" s="130"/>
    </row>
    <row r="300" spans="1:14" s="128" customFormat="1" ht="96" customHeight="1" x14ac:dyDescent="0.25">
      <c r="A300" s="103"/>
      <c r="B300" s="17" t="s">
        <v>370</v>
      </c>
      <c r="C300" s="75">
        <f>SUM(D300:F300)</f>
        <v>200</v>
      </c>
      <c r="D300" s="76">
        <v>200</v>
      </c>
      <c r="E300" s="76"/>
      <c r="F300" s="76"/>
      <c r="G300" s="75">
        <f>SUM(H300:J300)</f>
        <v>0</v>
      </c>
      <c r="H300" s="76">
        <v>0</v>
      </c>
      <c r="I300" s="76">
        <v>0</v>
      </c>
      <c r="J300" s="76">
        <v>0</v>
      </c>
      <c r="K300" s="62">
        <f>G300/C300</f>
        <v>0</v>
      </c>
      <c r="L300" s="141"/>
      <c r="N300" s="169"/>
    </row>
    <row r="301" spans="1:14" s="2" customFormat="1" x14ac:dyDescent="0.25">
      <c r="A301" s="23"/>
      <c r="B301" s="103"/>
      <c r="C301" s="170"/>
      <c r="D301" s="171"/>
      <c r="E301" s="171"/>
      <c r="F301" s="171"/>
      <c r="G301" s="170"/>
      <c r="H301" s="171"/>
      <c r="I301" s="171"/>
      <c r="J301" s="171"/>
      <c r="K301" s="172"/>
      <c r="L301" s="24"/>
    </row>
    <row r="302" spans="1:14" s="2" customFormat="1" x14ac:dyDescent="0.25">
      <c r="A302" s="173"/>
      <c r="B302" s="174" t="s">
        <v>372</v>
      </c>
      <c r="C302" s="175">
        <f>D302+E302+F302</f>
        <v>861292.06168999989</v>
      </c>
      <c r="D302" s="175">
        <f>D291+D251+D215+D150+D94+D49+D11+D295</f>
        <v>488437.69268999994</v>
      </c>
      <c r="E302" s="175">
        <f>E11+E49+E94+E150+E215+E251+E291</f>
        <v>361829.79599999997</v>
      </c>
      <c r="F302" s="175">
        <f>F11+F49+F94+F150+F215+F251+F291</f>
        <v>11024.573</v>
      </c>
      <c r="G302" s="175">
        <f>H302+I302+J302</f>
        <v>356685.72706</v>
      </c>
      <c r="H302" s="175">
        <f>H11+H49+H94+H150+H215+H251+H291+H295</f>
        <v>216623.22605999999</v>
      </c>
      <c r="I302" s="175">
        <f>I11+I49+I94+I150+I215+I251+I291</f>
        <v>135270.18700000001</v>
      </c>
      <c r="J302" s="175">
        <f>J11+J49+J94+J150+J215+J251+J291</f>
        <v>4792.3139999999994</v>
      </c>
      <c r="K302" s="176">
        <f>G302/C302</f>
        <v>0.41412865963274131</v>
      </c>
      <c r="L302" s="177"/>
    </row>
    <row r="303" spans="1:14" s="2" customFormat="1" x14ac:dyDescent="0.25">
      <c r="A303" s="5"/>
      <c r="B303" s="178"/>
      <c r="C303" s="179"/>
      <c r="D303" s="179"/>
      <c r="E303" s="179"/>
      <c r="F303" s="179"/>
      <c r="G303" s="179"/>
      <c r="H303" s="179"/>
      <c r="I303" s="179"/>
      <c r="J303" s="179"/>
      <c r="K303" s="180"/>
      <c r="L303" s="181"/>
    </row>
    <row r="304" spans="1:14" x14ac:dyDescent="0.25">
      <c r="B304" s="207"/>
      <c r="C304" s="207"/>
      <c r="D304" s="179"/>
      <c r="E304" s="179"/>
      <c r="F304" s="179"/>
      <c r="G304" s="179"/>
      <c r="H304" s="182"/>
      <c r="I304" s="182"/>
      <c r="J304" s="182"/>
      <c r="K304" s="183"/>
      <c r="L304" s="184"/>
    </row>
    <row r="305" spans="2:12" x14ac:dyDescent="0.25">
      <c r="B305" s="207" t="s">
        <v>373</v>
      </c>
      <c r="C305" s="207"/>
      <c r="D305" s="179"/>
      <c r="E305" s="179"/>
      <c r="F305" s="179"/>
      <c r="G305" s="179"/>
      <c r="H305" s="182" t="s">
        <v>374</v>
      </c>
      <c r="I305" s="182"/>
      <c r="J305" s="182"/>
      <c r="K305" s="183"/>
      <c r="L305" s="184"/>
    </row>
    <row r="306" spans="2:12" x14ac:dyDescent="0.25">
      <c r="B306" s="185"/>
      <c r="C306" s="179"/>
      <c r="D306" s="179"/>
      <c r="E306" s="179"/>
      <c r="F306" s="179"/>
      <c r="G306" s="179"/>
      <c r="H306" s="182"/>
      <c r="I306" s="182"/>
      <c r="J306" s="182"/>
      <c r="K306" s="183"/>
      <c r="L306" s="184"/>
    </row>
    <row r="307" spans="2:12" x14ac:dyDescent="0.25">
      <c r="B307" s="185"/>
      <c r="C307" s="179"/>
      <c r="D307" s="179"/>
      <c r="E307" s="179"/>
      <c r="F307" s="179"/>
      <c r="G307" s="179"/>
      <c r="H307" s="182"/>
      <c r="I307" s="182"/>
      <c r="J307" s="182"/>
      <c r="K307" s="183"/>
      <c r="L307" s="184"/>
    </row>
    <row r="308" spans="2:12" x14ac:dyDescent="0.25">
      <c r="B308" s="185" t="s">
        <v>375</v>
      </c>
      <c r="C308" s="179"/>
      <c r="D308" s="179"/>
      <c r="E308" s="179"/>
      <c r="F308" s="179"/>
      <c r="G308" s="179"/>
      <c r="H308" s="182" t="s">
        <v>376</v>
      </c>
      <c r="I308" s="182"/>
      <c r="J308" s="182"/>
      <c r="K308" s="183"/>
      <c r="L308" s="184"/>
    </row>
    <row r="309" spans="2:12" x14ac:dyDescent="0.25">
      <c r="B309" s="185"/>
      <c r="C309" s="179"/>
      <c r="D309" s="179"/>
      <c r="E309" s="179"/>
      <c r="F309" s="179"/>
      <c r="G309" s="179"/>
      <c r="H309" s="182"/>
      <c r="I309" s="182"/>
      <c r="J309" s="182"/>
      <c r="K309" s="183"/>
      <c r="L309" s="184"/>
    </row>
    <row r="310" spans="2:12" x14ac:dyDescent="0.25">
      <c r="B310" s="185"/>
      <c r="C310" s="179"/>
      <c r="D310" s="179"/>
      <c r="E310" s="179"/>
      <c r="F310" s="179"/>
      <c r="G310" s="179"/>
      <c r="H310" s="182"/>
      <c r="I310" s="182"/>
      <c r="J310" s="182"/>
      <c r="K310" s="183"/>
      <c r="L310" s="184"/>
    </row>
    <row r="311" spans="2:12" x14ac:dyDescent="0.25">
      <c r="B311" s="185" t="s">
        <v>377</v>
      </c>
      <c r="C311" s="179"/>
      <c r="D311" s="179"/>
      <c r="E311" s="179"/>
      <c r="F311" s="179"/>
      <c r="G311" s="179"/>
      <c r="H311" s="182"/>
      <c r="I311" s="182"/>
      <c r="J311" s="182"/>
      <c r="K311" s="183"/>
      <c r="L311" s="184"/>
    </row>
    <row r="312" spans="2:12" x14ac:dyDescent="0.25">
      <c r="B312" s="185"/>
      <c r="C312" s="179"/>
      <c r="D312" s="179"/>
      <c r="E312" s="179"/>
      <c r="F312" s="179"/>
      <c r="G312" s="179"/>
      <c r="H312" s="182"/>
      <c r="I312" s="182"/>
      <c r="J312" s="182"/>
      <c r="K312" s="183"/>
      <c r="L312" s="184"/>
    </row>
    <row r="313" spans="2:12" x14ac:dyDescent="0.25">
      <c r="B313" s="185"/>
      <c r="C313" s="179"/>
      <c r="D313" s="179"/>
      <c r="E313" s="179"/>
      <c r="F313" s="179"/>
      <c r="G313" s="179"/>
      <c r="H313" s="182"/>
      <c r="I313" s="182"/>
      <c r="J313" s="182"/>
      <c r="K313" s="183"/>
      <c r="L313" s="184"/>
    </row>
    <row r="314" spans="2:12" x14ac:dyDescent="0.25">
      <c r="B314" s="185"/>
      <c r="C314" s="179"/>
      <c r="D314" s="179"/>
      <c r="E314" s="179"/>
      <c r="F314" s="179"/>
      <c r="G314" s="179"/>
      <c r="H314" s="182"/>
      <c r="I314" s="182"/>
      <c r="J314" s="182"/>
      <c r="K314" s="183"/>
      <c r="L314" s="184"/>
    </row>
    <row r="315" spans="2:12" x14ac:dyDescent="0.25">
      <c r="B315" s="185"/>
      <c r="C315" s="179"/>
      <c r="D315" s="179"/>
      <c r="E315" s="179"/>
      <c r="F315" s="179"/>
      <c r="G315" s="179"/>
      <c r="H315" s="182"/>
      <c r="I315" s="182"/>
      <c r="J315" s="182"/>
      <c r="K315" s="183"/>
      <c r="L315" s="184"/>
    </row>
    <row r="316" spans="2:12" x14ac:dyDescent="0.25">
      <c r="B316" s="185"/>
      <c r="C316" s="179"/>
      <c r="D316" s="179"/>
      <c r="E316" s="179"/>
      <c r="F316" s="179"/>
      <c r="G316" s="179"/>
      <c r="H316" s="182"/>
      <c r="I316" s="182"/>
      <c r="J316" s="182"/>
      <c r="K316" s="183"/>
      <c r="L316" s="184"/>
    </row>
    <row r="317" spans="2:12" x14ac:dyDescent="0.25">
      <c r="B317" s="185"/>
      <c r="C317" s="179"/>
      <c r="D317" s="179"/>
      <c r="E317" s="179"/>
      <c r="F317" s="179"/>
      <c r="G317" s="179"/>
      <c r="H317" s="182"/>
      <c r="I317" s="182"/>
      <c r="J317" s="182"/>
      <c r="K317" s="183"/>
      <c r="L317" s="184"/>
    </row>
    <row r="318" spans="2:12" x14ac:dyDescent="0.25">
      <c r="B318" s="185"/>
      <c r="C318" s="179"/>
      <c r="D318" s="179"/>
      <c r="E318" s="179"/>
      <c r="F318" s="179"/>
      <c r="G318" s="179"/>
      <c r="H318" s="182"/>
      <c r="I318" s="182"/>
      <c r="J318" s="182"/>
      <c r="K318" s="183"/>
      <c r="L318" s="184"/>
    </row>
    <row r="319" spans="2:12" x14ac:dyDescent="0.25">
      <c r="B319" s="185"/>
      <c r="C319" s="179"/>
      <c r="D319" s="179"/>
      <c r="E319" s="179"/>
      <c r="F319" s="179"/>
      <c r="G319" s="179"/>
      <c r="H319" s="182"/>
      <c r="I319" s="182"/>
      <c r="J319" s="182"/>
      <c r="K319" s="183"/>
      <c r="L319" s="184"/>
    </row>
    <row r="320" spans="2:12" x14ac:dyDescent="0.25">
      <c r="B320" s="185"/>
      <c r="C320" s="179"/>
      <c r="D320" s="179"/>
      <c r="E320" s="179"/>
      <c r="F320" s="179"/>
      <c r="G320" s="179"/>
      <c r="H320" s="182"/>
      <c r="I320" s="182"/>
      <c r="J320" s="182"/>
      <c r="K320" s="183"/>
      <c r="L320" s="184"/>
    </row>
    <row r="321" spans="2:12" x14ac:dyDescent="0.25">
      <c r="B321" s="185"/>
      <c r="C321" s="179"/>
      <c r="D321" s="179"/>
      <c r="E321" s="179"/>
      <c r="F321" s="179"/>
      <c r="G321" s="179"/>
      <c r="H321" s="182"/>
      <c r="I321" s="182"/>
      <c r="J321" s="182"/>
      <c r="K321" s="183"/>
      <c r="L321" s="184"/>
    </row>
    <row r="322" spans="2:12" x14ac:dyDescent="0.25">
      <c r="B322" s="185"/>
      <c r="C322" s="179"/>
      <c r="D322" s="179"/>
      <c r="E322" s="179"/>
      <c r="F322" s="179"/>
      <c r="G322" s="179"/>
      <c r="H322" s="182"/>
      <c r="I322" s="182"/>
      <c r="J322" s="182"/>
      <c r="K322" s="183"/>
      <c r="L322" s="184"/>
    </row>
    <row r="323" spans="2:12" x14ac:dyDescent="0.25">
      <c r="B323" s="185"/>
      <c r="C323" s="178"/>
      <c r="D323" s="178"/>
      <c r="E323" s="178"/>
      <c r="F323" s="178"/>
      <c r="G323" s="178"/>
      <c r="H323" s="185"/>
      <c r="I323" s="185"/>
      <c r="J323" s="185"/>
      <c r="K323" s="183"/>
      <c r="L323" s="184"/>
    </row>
    <row r="324" spans="2:12" x14ac:dyDescent="0.25">
      <c r="B324" s="185"/>
      <c r="C324" s="178"/>
      <c r="D324" s="178"/>
      <c r="E324" s="178"/>
      <c r="F324" s="178"/>
      <c r="G324" s="178"/>
      <c r="H324" s="185"/>
      <c r="I324" s="185"/>
      <c r="J324" s="185"/>
      <c r="K324" s="183"/>
      <c r="L324" s="184"/>
    </row>
    <row r="325" spans="2:12" x14ac:dyDescent="0.25">
      <c r="B325" s="185"/>
      <c r="C325" s="178"/>
      <c r="D325" s="178"/>
      <c r="E325" s="178"/>
      <c r="F325" s="178"/>
      <c r="G325" s="178"/>
      <c r="H325" s="185"/>
      <c r="I325" s="185"/>
      <c r="J325" s="185"/>
      <c r="K325" s="183"/>
      <c r="L325" s="184"/>
    </row>
    <row r="326" spans="2:12" x14ac:dyDescent="0.25">
      <c r="B326" s="185"/>
      <c r="C326" s="178"/>
      <c r="D326" s="178"/>
      <c r="E326" s="178"/>
      <c r="F326" s="178"/>
      <c r="G326" s="178"/>
      <c r="H326" s="185"/>
      <c r="I326" s="185"/>
      <c r="J326" s="185"/>
      <c r="K326" s="183"/>
      <c r="L326" s="184"/>
    </row>
    <row r="327" spans="2:12" x14ac:dyDescent="0.25">
      <c r="B327" s="185"/>
      <c r="C327" s="178"/>
      <c r="D327" s="178"/>
      <c r="E327" s="178"/>
      <c r="F327" s="178"/>
      <c r="G327" s="178"/>
      <c r="H327" s="185"/>
      <c r="I327" s="185"/>
      <c r="J327" s="185"/>
      <c r="K327" s="183"/>
      <c r="L327" s="184"/>
    </row>
    <row r="328" spans="2:12" x14ac:dyDescent="0.25">
      <c r="B328" s="185"/>
      <c r="C328" s="178"/>
      <c r="D328" s="178"/>
      <c r="E328" s="178"/>
      <c r="F328" s="178"/>
      <c r="G328" s="178"/>
      <c r="H328" s="185"/>
      <c r="I328" s="185"/>
      <c r="J328" s="185"/>
      <c r="K328" s="183"/>
      <c r="L328" s="184"/>
    </row>
    <row r="329" spans="2:12" x14ac:dyDescent="0.25">
      <c r="B329" s="185"/>
      <c r="C329" s="178"/>
      <c r="D329" s="178"/>
      <c r="E329" s="178"/>
      <c r="F329" s="178"/>
      <c r="G329" s="178"/>
      <c r="H329" s="185"/>
      <c r="I329" s="185"/>
      <c r="J329" s="185"/>
      <c r="K329" s="183"/>
      <c r="L329" s="184"/>
    </row>
    <row r="330" spans="2:12" x14ac:dyDescent="0.25">
      <c r="B330" s="185"/>
      <c r="C330" s="178"/>
      <c r="D330" s="178"/>
      <c r="E330" s="178"/>
      <c r="F330" s="178"/>
      <c r="G330" s="178"/>
      <c r="H330" s="185"/>
      <c r="I330" s="185"/>
      <c r="J330" s="185"/>
      <c r="K330" s="183"/>
      <c r="L330" s="184"/>
    </row>
    <row r="331" spans="2:12" x14ac:dyDescent="0.25">
      <c r="B331" s="185"/>
      <c r="C331" s="178"/>
      <c r="D331" s="178"/>
      <c r="E331" s="178"/>
      <c r="F331" s="178"/>
      <c r="G331" s="178"/>
      <c r="H331" s="185"/>
      <c r="I331" s="185"/>
      <c r="J331" s="185"/>
      <c r="K331" s="183"/>
      <c r="L331" s="184"/>
    </row>
    <row r="332" spans="2:12" x14ac:dyDescent="0.25">
      <c r="B332" s="185"/>
      <c r="C332" s="178"/>
      <c r="D332" s="178"/>
      <c r="E332" s="178"/>
      <c r="F332" s="178"/>
      <c r="G332" s="178"/>
      <c r="H332" s="185"/>
      <c r="I332" s="185"/>
      <c r="J332" s="185"/>
      <c r="K332" s="183"/>
      <c r="L332" s="184"/>
    </row>
    <row r="333" spans="2:12" x14ac:dyDescent="0.25">
      <c r="B333" s="185"/>
      <c r="C333" s="178"/>
      <c r="D333" s="178"/>
      <c r="E333" s="178"/>
      <c r="F333" s="178"/>
      <c r="G333" s="178"/>
      <c r="H333" s="185"/>
      <c r="I333" s="185"/>
      <c r="J333" s="185"/>
      <c r="K333" s="183"/>
      <c r="L333" s="184"/>
    </row>
    <row r="334" spans="2:12" x14ac:dyDescent="0.25">
      <c r="B334" s="185"/>
      <c r="C334" s="178"/>
      <c r="D334" s="178"/>
      <c r="E334" s="178"/>
      <c r="F334" s="178"/>
      <c r="G334" s="178"/>
      <c r="H334" s="185"/>
      <c r="I334" s="185"/>
      <c r="J334" s="185"/>
      <c r="K334" s="183"/>
      <c r="L334" s="184"/>
    </row>
    <row r="335" spans="2:12" x14ac:dyDescent="0.25">
      <c r="B335" s="185"/>
      <c r="C335" s="178"/>
      <c r="D335" s="178"/>
      <c r="E335" s="178"/>
      <c r="F335" s="178"/>
      <c r="G335" s="178"/>
      <c r="H335" s="185"/>
      <c r="I335" s="185"/>
      <c r="J335" s="185"/>
      <c r="K335" s="183"/>
      <c r="L335" s="184"/>
    </row>
    <row r="336" spans="2:12" x14ac:dyDescent="0.25">
      <c r="B336" s="185"/>
      <c r="C336" s="178"/>
      <c r="D336" s="178"/>
      <c r="E336" s="178"/>
      <c r="F336" s="178"/>
      <c r="G336" s="178"/>
      <c r="H336" s="185"/>
      <c r="I336" s="185"/>
      <c r="J336" s="185"/>
      <c r="K336" s="183"/>
      <c r="L336" s="184"/>
    </row>
    <row r="337" spans="2:12" x14ac:dyDescent="0.25">
      <c r="B337" s="185"/>
      <c r="C337" s="178"/>
      <c r="D337" s="178"/>
      <c r="E337" s="178"/>
      <c r="F337" s="178"/>
      <c r="G337" s="178"/>
      <c r="H337" s="185"/>
      <c r="I337" s="185"/>
      <c r="J337" s="185"/>
      <c r="K337" s="183"/>
      <c r="L337" s="184"/>
    </row>
    <row r="338" spans="2:12" x14ac:dyDescent="0.25">
      <c r="B338" s="185"/>
      <c r="C338" s="178"/>
      <c r="D338" s="178"/>
      <c r="E338" s="178"/>
      <c r="F338" s="178"/>
      <c r="G338" s="178"/>
      <c r="H338" s="185"/>
      <c r="I338" s="185"/>
      <c r="J338" s="185"/>
      <c r="K338" s="183"/>
      <c r="L338" s="184"/>
    </row>
    <row r="339" spans="2:12" x14ac:dyDescent="0.25">
      <c r="B339" s="185"/>
      <c r="C339" s="178"/>
      <c r="D339" s="178"/>
      <c r="E339" s="178"/>
      <c r="F339" s="178"/>
      <c r="G339" s="178"/>
      <c r="H339" s="185"/>
      <c r="I339" s="185"/>
      <c r="J339" s="185"/>
      <c r="K339" s="183"/>
      <c r="L339" s="184"/>
    </row>
    <row r="340" spans="2:12" x14ac:dyDescent="0.25">
      <c r="B340" s="185"/>
      <c r="C340" s="178"/>
      <c r="D340" s="178"/>
      <c r="E340" s="178"/>
      <c r="F340" s="178"/>
      <c r="G340" s="178"/>
      <c r="H340" s="185"/>
      <c r="I340" s="185"/>
      <c r="J340" s="185"/>
      <c r="K340" s="183"/>
      <c r="L340" s="184"/>
    </row>
    <row r="341" spans="2:12" x14ac:dyDescent="0.25">
      <c r="B341" s="185"/>
      <c r="C341" s="178"/>
      <c r="D341" s="178"/>
      <c r="E341" s="178"/>
      <c r="F341" s="178"/>
      <c r="G341" s="178"/>
      <c r="H341" s="185"/>
      <c r="I341" s="185"/>
      <c r="J341" s="185"/>
      <c r="K341" s="183"/>
      <c r="L341" s="184"/>
    </row>
    <row r="342" spans="2:12" x14ac:dyDescent="0.25">
      <c r="B342" s="185"/>
      <c r="C342" s="178"/>
      <c r="D342" s="178"/>
      <c r="E342" s="178"/>
      <c r="F342" s="178"/>
      <c r="G342" s="178"/>
      <c r="H342" s="185"/>
      <c r="I342" s="185"/>
      <c r="J342" s="185"/>
      <c r="K342" s="183"/>
      <c r="L342" s="184"/>
    </row>
    <row r="343" spans="2:12" x14ac:dyDescent="0.25">
      <c r="B343" s="185"/>
      <c r="C343" s="178"/>
      <c r="D343" s="178"/>
      <c r="E343" s="178"/>
      <c r="F343" s="178"/>
      <c r="G343" s="178"/>
      <c r="H343" s="185"/>
      <c r="I343" s="185"/>
      <c r="J343" s="185"/>
      <c r="K343" s="183"/>
      <c r="L343" s="184"/>
    </row>
    <row r="344" spans="2:12" x14ac:dyDescent="0.25">
      <c r="B344" s="185"/>
      <c r="C344" s="178"/>
      <c r="D344" s="178"/>
      <c r="E344" s="178"/>
      <c r="F344" s="178"/>
      <c r="G344" s="178"/>
      <c r="H344" s="185"/>
      <c r="I344" s="185"/>
      <c r="J344" s="185"/>
      <c r="K344" s="183"/>
      <c r="L344" s="184"/>
    </row>
    <row r="345" spans="2:12" x14ac:dyDescent="0.25">
      <c r="B345" s="185"/>
      <c r="C345" s="178"/>
      <c r="D345" s="178"/>
      <c r="E345" s="178"/>
      <c r="F345" s="178"/>
      <c r="G345" s="178"/>
      <c r="H345" s="185"/>
      <c r="I345" s="185"/>
      <c r="J345" s="185"/>
      <c r="K345" s="183"/>
      <c r="L345" s="184"/>
    </row>
    <row r="346" spans="2:12" x14ac:dyDescent="0.25">
      <c r="B346" s="185"/>
      <c r="C346" s="178"/>
      <c r="D346" s="178"/>
      <c r="E346" s="178"/>
      <c r="F346" s="178"/>
      <c r="G346" s="178"/>
      <c r="H346" s="185"/>
      <c r="I346" s="185"/>
      <c r="J346" s="185"/>
      <c r="K346" s="183"/>
      <c r="L346" s="184"/>
    </row>
    <row r="347" spans="2:12" x14ac:dyDescent="0.25">
      <c r="B347" s="185"/>
      <c r="C347" s="178"/>
      <c r="D347" s="178"/>
      <c r="E347" s="178"/>
      <c r="F347" s="178"/>
      <c r="G347" s="178"/>
      <c r="H347" s="185"/>
      <c r="I347" s="185"/>
      <c r="J347" s="185"/>
      <c r="K347" s="183"/>
      <c r="L347" s="184"/>
    </row>
    <row r="348" spans="2:12" x14ac:dyDescent="0.25">
      <c r="B348" s="185"/>
      <c r="C348" s="178"/>
      <c r="D348" s="178"/>
      <c r="E348" s="178"/>
      <c r="F348" s="178"/>
      <c r="G348" s="178"/>
      <c r="H348" s="185"/>
      <c r="I348" s="185"/>
      <c r="J348" s="185"/>
      <c r="K348" s="183"/>
      <c r="L348" s="184"/>
    </row>
    <row r="349" spans="2:12" x14ac:dyDescent="0.25">
      <c r="D349" s="2"/>
      <c r="E349" s="2"/>
      <c r="F349" s="2"/>
    </row>
  </sheetData>
  <mergeCells count="156">
    <mergeCell ref="B1:L1"/>
    <mergeCell ref="K3:L3"/>
    <mergeCell ref="A4:A10"/>
    <mergeCell ref="B4:B10"/>
    <mergeCell ref="C4:F4"/>
    <mergeCell ref="G4:J4"/>
    <mergeCell ref="K4:K10"/>
    <mergeCell ref="L4:L10"/>
    <mergeCell ref="C5:C10"/>
    <mergeCell ref="D5:F5"/>
    <mergeCell ref="G5:G10"/>
    <mergeCell ref="H5:J5"/>
    <mergeCell ref="D6:D10"/>
    <mergeCell ref="E6:E10"/>
    <mergeCell ref="F6:F10"/>
    <mergeCell ref="H6:H10"/>
    <mergeCell ref="I6:I10"/>
    <mergeCell ref="J6:J10"/>
    <mergeCell ref="B12:L12"/>
    <mergeCell ref="B14:L14"/>
    <mergeCell ref="B15:L15"/>
    <mergeCell ref="B18:L18"/>
    <mergeCell ref="B20:L20"/>
    <mergeCell ref="B21:L21"/>
    <mergeCell ref="Q22:S22"/>
    <mergeCell ref="T22:T26"/>
    <mergeCell ref="B23:L23"/>
    <mergeCell ref="Q24:S24"/>
    <mergeCell ref="B25:L25"/>
    <mergeCell ref="Q26:S26"/>
    <mergeCell ref="B27:L27"/>
    <mergeCell ref="Q28:S28"/>
    <mergeCell ref="B30:L30"/>
    <mergeCell ref="B32:L32"/>
    <mergeCell ref="B33:L33"/>
    <mergeCell ref="Q34:S34"/>
    <mergeCell ref="B36:L36"/>
    <mergeCell ref="B37:L37"/>
    <mergeCell ref="B40:L40"/>
    <mergeCell ref="P43:R43"/>
    <mergeCell ref="B44:L44"/>
    <mergeCell ref="B46:L46"/>
    <mergeCell ref="B47:L47"/>
    <mergeCell ref="B50:L50"/>
    <mergeCell ref="B52:L52"/>
    <mergeCell ref="B53:L53"/>
    <mergeCell ref="B55:L55"/>
    <mergeCell ref="B57:L57"/>
    <mergeCell ref="B58:L58"/>
    <mergeCell ref="B60:L60"/>
    <mergeCell ref="B62:L62"/>
    <mergeCell ref="B64:L64"/>
    <mergeCell ref="B66:L66"/>
    <mergeCell ref="B67:L67"/>
    <mergeCell ref="B69:L69"/>
    <mergeCell ref="B71:K71"/>
    <mergeCell ref="B73:L73"/>
    <mergeCell ref="B74:L74"/>
    <mergeCell ref="B76:L76"/>
    <mergeCell ref="B78:K78"/>
    <mergeCell ref="B80:K80"/>
    <mergeCell ref="B81:K81"/>
    <mergeCell ref="B83:L83"/>
    <mergeCell ref="B85:L85"/>
    <mergeCell ref="B87:L87"/>
    <mergeCell ref="B88:L88"/>
    <mergeCell ref="B90:L90"/>
    <mergeCell ref="B92:L92"/>
    <mergeCell ref="B95:K95"/>
    <mergeCell ref="B97:K97"/>
    <mergeCell ref="B98:K98"/>
    <mergeCell ref="B101:K101"/>
    <mergeCell ref="B104:K104"/>
    <mergeCell ref="B106:K106"/>
    <mergeCell ref="B107:K107"/>
    <mergeCell ref="B111:L111"/>
    <mergeCell ref="B114:K114"/>
    <mergeCell ref="B117:K117"/>
    <mergeCell ref="B120:K120"/>
    <mergeCell ref="B123:K123"/>
    <mergeCell ref="B125:K125"/>
    <mergeCell ref="B126:K126"/>
    <mergeCell ref="B129:K129"/>
    <mergeCell ref="B130:K130"/>
    <mergeCell ref="B132:K132"/>
    <mergeCell ref="B134:K134"/>
    <mergeCell ref="B135:K135"/>
    <mergeCell ref="B137:K137"/>
    <mergeCell ref="B139:K139"/>
    <mergeCell ref="B141:K141"/>
    <mergeCell ref="B143:K143"/>
    <mergeCell ref="B145:K145"/>
    <mergeCell ref="B146:K146"/>
    <mergeCell ref="B148:K148"/>
    <mergeCell ref="B151:L151"/>
    <mergeCell ref="B153:L153"/>
    <mergeCell ref="B154:L154"/>
    <mergeCell ref="B158:L158"/>
    <mergeCell ref="B163:L163"/>
    <mergeCell ref="B165:L165"/>
    <mergeCell ref="B166:L166"/>
    <mergeCell ref="B171:L171"/>
    <mergeCell ref="B174:L174"/>
    <mergeCell ref="B176:L176"/>
    <mergeCell ref="B177:L177"/>
    <mergeCell ref="B180:L180"/>
    <mergeCell ref="B186:L186"/>
    <mergeCell ref="B188:L188"/>
    <mergeCell ref="B189:L189"/>
    <mergeCell ref="B192:L192"/>
    <mergeCell ref="B196:L196"/>
    <mergeCell ref="B198:L198"/>
    <mergeCell ref="B199:L199"/>
    <mergeCell ref="B202:L202"/>
    <mergeCell ref="B206:L206"/>
    <mergeCell ref="B208:L208"/>
    <mergeCell ref="B209:L209"/>
    <mergeCell ref="B212:L212"/>
    <mergeCell ref="B216:L216"/>
    <mergeCell ref="B218:L218"/>
    <mergeCell ref="B219:L219"/>
    <mergeCell ref="B221:L221"/>
    <mergeCell ref="B226:L226"/>
    <mergeCell ref="B228:L228"/>
    <mergeCell ref="B230:L230"/>
    <mergeCell ref="B231:L231"/>
    <mergeCell ref="B233:K233"/>
    <mergeCell ref="B236:L236"/>
    <mergeCell ref="B238:L238"/>
    <mergeCell ref="B239:L239"/>
    <mergeCell ref="B242:K242"/>
    <mergeCell ref="B244:L244"/>
    <mergeCell ref="B246:K246"/>
    <mergeCell ref="B247:K247"/>
    <mergeCell ref="B249:K249"/>
    <mergeCell ref="B252:L252"/>
    <mergeCell ref="B254:L254"/>
    <mergeCell ref="B255:L255"/>
    <mergeCell ref="B258:L258"/>
    <mergeCell ref="B260:L260"/>
    <mergeCell ref="B266:L266"/>
    <mergeCell ref="B267:L267"/>
    <mergeCell ref="B269:L269"/>
    <mergeCell ref="B271:L271"/>
    <mergeCell ref="B274:L274"/>
    <mergeCell ref="B275:L275"/>
    <mergeCell ref="B277:L277"/>
    <mergeCell ref="B279:K279"/>
    <mergeCell ref="B280:K280"/>
    <mergeCell ref="B284:L284"/>
    <mergeCell ref="B286:K286"/>
    <mergeCell ref="B287:K287"/>
    <mergeCell ref="B296:K296"/>
    <mergeCell ref="B297:K297"/>
    <mergeCell ref="B304:C304"/>
    <mergeCell ref="B305:C305"/>
  </mergeCells>
  <pageMargins left="0.23611111111111099" right="0.23611111111111099" top="0.74791666666666701" bottom="0.74791666666666701" header="0.511811023622047" footer="0.511811023622047"/>
  <pageSetup paperSize="9" fitToHeight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D21"/>
  <sheetViews>
    <sheetView zoomScale="75" zoomScaleNormal="75" workbookViewId="0">
      <selection activeCell="D22" sqref="D22"/>
    </sheetView>
  </sheetViews>
  <sheetFormatPr defaultColWidth="8.7109375" defaultRowHeight="12.75" x14ac:dyDescent="0.2"/>
  <cols>
    <col min="4" max="4" width="11" customWidth="1"/>
  </cols>
  <sheetData>
    <row r="3" spans="4:4" x14ac:dyDescent="0.2">
      <c r="D3">
        <v>3076050.91</v>
      </c>
    </row>
    <row r="4" spans="4:4" x14ac:dyDescent="0.2">
      <c r="D4">
        <v>192654</v>
      </c>
    </row>
    <row r="5" spans="4:4" x14ac:dyDescent="0.2">
      <c r="D5">
        <v>755920</v>
      </c>
    </row>
    <row r="6" spans="4:4" x14ac:dyDescent="0.2">
      <c r="D6">
        <v>38896</v>
      </c>
    </row>
    <row r="7" spans="4:4" x14ac:dyDescent="0.2">
      <c r="D7">
        <v>30100</v>
      </c>
    </row>
    <row r="8" spans="4:4" x14ac:dyDescent="0.2">
      <c r="D8">
        <v>4545</v>
      </c>
    </row>
    <row r="9" spans="4:4" x14ac:dyDescent="0.2">
      <c r="D9">
        <v>95000</v>
      </c>
    </row>
    <row r="10" spans="4:4" x14ac:dyDescent="0.2">
      <c r="D10">
        <v>14535</v>
      </c>
    </row>
    <row r="11" spans="4:4" x14ac:dyDescent="0.2">
      <c r="D11">
        <v>21570154.09</v>
      </c>
    </row>
    <row r="12" spans="4:4" x14ac:dyDescent="0.2">
      <c r="D12">
        <v>54730</v>
      </c>
    </row>
    <row r="13" spans="4:4" x14ac:dyDescent="0.2">
      <c r="D13">
        <v>6611700</v>
      </c>
    </row>
    <row r="14" spans="4:4" x14ac:dyDescent="0.2">
      <c r="D14">
        <v>290000</v>
      </c>
    </row>
    <row r="15" spans="4:4" x14ac:dyDescent="0.2">
      <c r="D15">
        <v>3600</v>
      </c>
    </row>
    <row r="16" spans="4:4" x14ac:dyDescent="0.2">
      <c r="D16">
        <v>276200</v>
      </c>
    </row>
    <row r="17" spans="4:4" x14ac:dyDescent="0.2">
      <c r="D17">
        <v>83400</v>
      </c>
    </row>
    <row r="18" spans="4:4" x14ac:dyDescent="0.2">
      <c r="D18">
        <v>67263.44</v>
      </c>
    </row>
    <row r="19" spans="4:4" x14ac:dyDescent="0.2">
      <c r="D19">
        <v>20313.560000000001</v>
      </c>
    </row>
    <row r="21" spans="4:4" x14ac:dyDescent="0.2">
      <c r="D21">
        <f>SUM(D3:D20)</f>
        <v>33185062</v>
      </c>
    </row>
  </sheetData>
  <pageMargins left="0.75" right="0.75" top="1" bottom="1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на печать</vt:lpstr>
      <vt:lpstr>Лист1</vt:lpstr>
      <vt:lpstr>Лист3</vt:lpstr>
      <vt:lpstr>Лист1!Область_печати</vt:lpstr>
      <vt:lpstr>'на печать'!Область_печати</vt:lpstr>
    </vt:vector>
  </TitlesOfParts>
  <Company>MoBIL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Антонюк</cp:lastModifiedBy>
  <cp:revision>12</cp:revision>
  <cp:lastPrinted>2024-03-13T05:03:28Z</cp:lastPrinted>
  <dcterms:created xsi:type="dcterms:W3CDTF">2014-04-10T06:07:41Z</dcterms:created>
  <dcterms:modified xsi:type="dcterms:W3CDTF">2024-03-22T12:30:11Z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